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DE495D0F-D9C2-4668-A93A-A287D3CA1ED5}" xr6:coauthVersionLast="47" xr6:coauthVersionMax="47" xr10:uidLastSave="{00000000-0000-0000-0000-000000000000}"/>
  <bookViews>
    <workbookView xWindow="-110" yWindow="-110" windowWidth="19420" windowHeight="10300" firstSheet="1" activeTab="2" xr2:uid="{B454631B-FE79-4D88-8336-3F4E47439921}"/>
  </bookViews>
  <sheets>
    <sheet name="Balance (C&amp;C)" sheetId="1" r:id="rId1"/>
    <sheet name="Income Statement (C&amp;C)" sheetId="2" r:id="rId2"/>
    <sheet name="Cash-Flow (C&amp;C)" sheetId="3" r:id="rId3"/>
    <sheet name="Intangibles and Deprec. (C&amp;C)" sheetId="4" r:id="rId4"/>
    <sheet name="Assumptions (C&amp;C)" sheetId="5" r:id="rId5"/>
    <sheet name="Balance (Samba)" sheetId="6" state="hidden" r:id="rId6"/>
    <sheet name="Income Statement (Samba)" sheetId="7" state="hidden" r:id="rId7"/>
    <sheet name="Cash-Flow (Samba)" sheetId="8" state="hidden" r:id="rId8"/>
    <sheet name="Intangibles and Deprec. (Samba)" sheetId="9" state="hidden" r:id="rId9"/>
    <sheet name="Assumptions (Samba)" sheetId="10" state="hidden" r:id="rId10"/>
    <sheet name="Exchange rate 31.05.2022" sheetId="11" state="hidden" r:id="rId11"/>
  </sheets>
  <externalReferences>
    <externalReference r:id="rId1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5" i="3" l="1"/>
  <c r="D63" i="3"/>
  <c r="C52" i="3"/>
  <c r="C53" i="3" s="1"/>
  <c r="D61" i="3"/>
  <c r="D4" i="2"/>
  <c r="D8" i="1" s="1"/>
  <c r="F33" i="1"/>
  <c r="D29" i="3"/>
  <c r="D7" i="3" s="1"/>
  <c r="E5" i="4"/>
  <c r="E4" i="4"/>
  <c r="F31" i="5"/>
  <c r="G31" i="5" s="1"/>
  <c r="H31" i="5" s="1"/>
  <c r="I31" i="5" s="1"/>
  <c r="J31" i="5" s="1"/>
  <c r="K31" i="5" s="1"/>
  <c r="L31" i="5" s="1"/>
  <c r="M31" i="5" s="1"/>
  <c r="N31" i="5" s="1"/>
  <c r="O31" i="5" s="1"/>
  <c r="P31" i="5" s="1"/>
  <c r="E4" i="2" l="1"/>
  <c r="F4" i="2" s="1"/>
  <c r="G4" i="2" s="1"/>
  <c r="H4" i="2" s="1"/>
  <c r="E16" i="5"/>
  <c r="E15" i="5"/>
  <c r="E3" i="3"/>
  <c r="F3" i="3" s="1"/>
  <c r="G3" i="3" s="1"/>
  <c r="H3" i="3" s="1"/>
  <c r="I3" i="3" s="1"/>
  <c r="J3" i="3" s="1"/>
  <c r="K3" i="3" s="1"/>
  <c r="L3" i="3" s="1"/>
  <c r="M3" i="3" s="1"/>
  <c r="N3" i="3" s="1"/>
  <c r="O3" i="3" s="1"/>
  <c r="D17" i="1"/>
  <c r="E17" i="1" s="1"/>
  <c r="F17" i="1" s="1"/>
  <c r="F4" i="4"/>
  <c r="D9" i="4" s="1"/>
  <c r="F9" i="4" s="1"/>
  <c r="G9" i="4" s="1"/>
  <c r="H9" i="4" s="1"/>
  <c r="C9" i="4"/>
  <c r="C10" i="4" s="1"/>
  <c r="C11" i="4" s="1"/>
  <c r="C12" i="4" s="1"/>
  <c r="C13" i="4" s="1"/>
  <c r="C14" i="4" s="1"/>
  <c r="C15" i="4" s="1"/>
  <c r="C16" i="4" s="1"/>
  <c r="C17" i="4" s="1"/>
  <c r="E11" i="5"/>
  <c r="D11" i="1"/>
  <c r="F3" i="5"/>
  <c r="J26" i="5"/>
  <c r="K26" i="5" s="1"/>
  <c r="L26" i="5" s="1"/>
  <c r="M26" i="5" s="1"/>
  <c r="N26" i="5" s="1"/>
  <c r="O26" i="5" s="1"/>
  <c r="P26" i="5" s="1"/>
  <c r="F26" i="5"/>
  <c r="G26" i="5" s="1"/>
  <c r="C9" i="2"/>
  <c r="D3" i="2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C20" i="1"/>
  <c r="C19" i="1"/>
  <c r="D19" i="1" s="1"/>
  <c r="D2" i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F9" i="6"/>
  <c r="H30" i="10"/>
  <c r="I30" i="10" s="1"/>
  <c r="J30" i="10" s="1"/>
  <c r="K30" i="10" s="1"/>
  <c r="L30" i="10" s="1"/>
  <c r="M30" i="10" s="1"/>
  <c r="N30" i="10" s="1"/>
  <c r="O30" i="10" s="1"/>
  <c r="G30" i="10"/>
  <c r="M26" i="10"/>
  <c r="N26" i="10" s="1"/>
  <c r="O26" i="10" s="1"/>
  <c r="H26" i="10"/>
  <c r="I26" i="10" s="1"/>
  <c r="J26" i="10" s="1"/>
  <c r="E20" i="10"/>
  <c r="E14" i="10"/>
  <c r="N13" i="10"/>
  <c r="O13" i="10" s="1"/>
  <c r="L13" i="10"/>
  <c r="M13" i="10" s="1"/>
  <c r="O12" i="10"/>
  <c r="N12" i="10"/>
  <c r="M12" i="10"/>
  <c r="L12" i="10"/>
  <c r="K12" i="10"/>
  <c r="J12" i="10"/>
  <c r="I12" i="10"/>
  <c r="H12" i="10"/>
  <c r="G12" i="10"/>
  <c r="F12" i="10"/>
  <c r="H9" i="10"/>
  <c r="G9" i="10"/>
  <c r="F9" i="10"/>
  <c r="E9" i="10"/>
  <c r="F3" i="10"/>
  <c r="G3" i="10" s="1"/>
  <c r="H3" i="10" s="1"/>
  <c r="I3" i="10" s="1"/>
  <c r="J3" i="10" s="1"/>
  <c r="K3" i="10" s="1"/>
  <c r="L3" i="10" s="1"/>
  <c r="M3" i="10" s="1"/>
  <c r="N3" i="10" s="1"/>
  <c r="O3" i="10" s="1"/>
  <c r="F1" i="10"/>
  <c r="G1" i="10" s="1"/>
  <c r="H1" i="10" s="1"/>
  <c r="I1" i="10" s="1"/>
  <c r="J1" i="10" s="1"/>
  <c r="K1" i="10" s="1"/>
  <c r="L1" i="10" s="1"/>
  <c r="M1" i="10" s="1"/>
  <c r="N1" i="10" s="1"/>
  <c r="O1" i="10" s="1"/>
  <c r="E18" i="9"/>
  <c r="E19" i="9" s="1"/>
  <c r="E20" i="9" s="1"/>
  <c r="C11" i="9"/>
  <c r="C12" i="9" s="1"/>
  <c r="C13" i="9" s="1"/>
  <c r="C14" i="9" s="1"/>
  <c r="C15" i="9" s="1"/>
  <c r="C16" i="9" s="1"/>
  <c r="C17" i="9" s="1"/>
  <c r="H10" i="9"/>
  <c r="D10" i="9"/>
  <c r="G9" i="9"/>
  <c r="H9" i="9" s="1"/>
  <c r="D9" i="9"/>
  <c r="F8" i="9"/>
  <c r="F18" i="9" s="1"/>
  <c r="D8" i="9"/>
  <c r="F7" i="9"/>
  <c r="G7" i="9" s="1"/>
  <c r="H7" i="9" s="1"/>
  <c r="I7" i="9" s="1"/>
  <c r="J7" i="9" s="1"/>
  <c r="K7" i="9" s="1"/>
  <c r="L7" i="9" s="1"/>
  <c r="M7" i="9" s="1"/>
  <c r="N7" i="9" s="1"/>
  <c r="F5" i="9"/>
  <c r="G5" i="9" s="1"/>
  <c r="G4" i="6" s="1"/>
  <c r="D57" i="8"/>
  <c r="W29" i="8"/>
  <c r="W7" i="8" s="1"/>
  <c r="V29" i="8"/>
  <c r="U29" i="8"/>
  <c r="U7" i="8" s="1"/>
  <c r="T29" i="8"/>
  <c r="S29" i="8"/>
  <c r="R29" i="8"/>
  <c r="R7" i="8" s="1"/>
  <c r="Q29" i="8"/>
  <c r="P29" i="8"/>
  <c r="Q21" i="8"/>
  <c r="E21" i="8"/>
  <c r="D17" i="8"/>
  <c r="W16" i="8"/>
  <c r="V16" i="8"/>
  <c r="U16" i="8"/>
  <c r="T16" i="8"/>
  <c r="S16" i="8"/>
  <c r="J16" i="8"/>
  <c r="E16" i="8"/>
  <c r="D16" i="8"/>
  <c r="D62" i="8" s="1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W11" i="8"/>
  <c r="V11" i="8"/>
  <c r="U11" i="8"/>
  <c r="T11" i="8"/>
  <c r="S11" i="8"/>
  <c r="R11" i="8"/>
  <c r="Q11" i="8"/>
  <c r="E11" i="8"/>
  <c r="D11" i="8"/>
  <c r="P9" i="8"/>
  <c r="P31" i="8" s="1"/>
  <c r="W6" i="8"/>
  <c r="V6" i="8"/>
  <c r="U6" i="8"/>
  <c r="T6" i="8"/>
  <c r="S6" i="8"/>
  <c r="R6" i="8"/>
  <c r="Q6" i="8"/>
  <c r="E6" i="8"/>
  <c r="D6" i="8"/>
  <c r="W5" i="8"/>
  <c r="V5" i="8"/>
  <c r="U5" i="8"/>
  <c r="T5" i="8"/>
  <c r="S5" i="8"/>
  <c r="R5" i="8"/>
  <c r="Q5" i="8"/>
  <c r="C44" i="7"/>
  <c r="C27" i="7"/>
  <c r="C29" i="7" s="1"/>
  <c r="C25" i="7"/>
  <c r="D9" i="7"/>
  <c r="D12" i="7" s="1"/>
  <c r="D15" i="7" s="1"/>
  <c r="D18" i="7" s="1"/>
  <c r="D19" i="6" s="1"/>
  <c r="C9" i="7"/>
  <c r="C12" i="7" s="1"/>
  <c r="G6" i="7"/>
  <c r="G30" i="6" s="1"/>
  <c r="F6" i="7"/>
  <c r="F30" i="6" s="1"/>
  <c r="G5" i="7"/>
  <c r="F5" i="7"/>
  <c r="F9" i="7" s="1"/>
  <c r="H4" i="7"/>
  <c r="H6" i="7" s="1"/>
  <c r="H30" i="6" s="1"/>
  <c r="O36" i="6"/>
  <c r="V34" i="6"/>
  <c r="U34" i="6"/>
  <c r="T34" i="6"/>
  <c r="S34" i="6"/>
  <c r="R34" i="6"/>
  <c r="Q34" i="6"/>
  <c r="P34" i="6"/>
  <c r="D34" i="6"/>
  <c r="C34" i="6"/>
  <c r="F31" i="6"/>
  <c r="G31" i="6" s="1"/>
  <c r="V21" i="6"/>
  <c r="U21" i="6"/>
  <c r="T21" i="6"/>
  <c r="S21" i="6"/>
  <c r="R21" i="6"/>
  <c r="Q21" i="6"/>
  <c r="P21" i="6"/>
  <c r="F17" i="6"/>
  <c r="G17" i="6" s="1"/>
  <c r="H17" i="6" s="1"/>
  <c r="I17" i="6" s="1"/>
  <c r="J17" i="6" s="1"/>
  <c r="K17" i="6" s="1"/>
  <c r="L17" i="6" s="1"/>
  <c r="M17" i="6" s="1"/>
  <c r="N17" i="6" s="1"/>
  <c r="E16" i="6"/>
  <c r="V13" i="6"/>
  <c r="U13" i="6"/>
  <c r="T13" i="6"/>
  <c r="T36" i="6" s="1"/>
  <c r="S13" i="6"/>
  <c r="R13" i="6"/>
  <c r="Q13" i="6"/>
  <c r="P13" i="6"/>
  <c r="D10" i="6"/>
  <c r="E29" i="8" s="1"/>
  <c r="E7" i="8" s="1"/>
  <c r="C10" i="6"/>
  <c r="D29" i="8" s="1"/>
  <c r="D7" i="8" s="1"/>
  <c r="G7" i="6"/>
  <c r="F7" i="6"/>
  <c r="D6" i="6"/>
  <c r="C6" i="6"/>
  <c r="D21" i="8" s="1"/>
  <c r="E4" i="6"/>
  <c r="F21" i="8" s="1"/>
  <c r="G3" i="5"/>
  <c r="H3" i="5" s="1"/>
  <c r="I3" i="5" s="1"/>
  <c r="J3" i="5" s="1"/>
  <c r="K3" i="5" s="1"/>
  <c r="L3" i="5" s="1"/>
  <c r="M3" i="5" s="1"/>
  <c r="N3" i="5" s="1"/>
  <c r="O3" i="5" s="1"/>
  <c r="P3" i="5" s="1"/>
  <c r="F1" i="5"/>
  <c r="G1" i="5" s="1"/>
  <c r="H1" i="5" s="1"/>
  <c r="I1" i="5" s="1"/>
  <c r="J1" i="5" s="1"/>
  <c r="K1" i="5" s="1"/>
  <c r="L1" i="5" s="1"/>
  <c r="M1" i="5" s="1"/>
  <c r="N1" i="5" s="1"/>
  <c r="O1" i="5" s="1"/>
  <c r="E18" i="4"/>
  <c r="E19" i="4" s="1"/>
  <c r="E20" i="4" s="1"/>
  <c r="D8" i="4"/>
  <c r="F8" i="4" s="1"/>
  <c r="F7" i="4"/>
  <c r="G7" i="4" s="1"/>
  <c r="H7" i="4" s="1"/>
  <c r="I7" i="4" s="1"/>
  <c r="J7" i="4" s="1"/>
  <c r="K7" i="4" s="1"/>
  <c r="L7" i="4" s="1"/>
  <c r="M7" i="4" s="1"/>
  <c r="N7" i="4" s="1"/>
  <c r="W29" i="3"/>
  <c r="V29" i="3"/>
  <c r="U29" i="3"/>
  <c r="T29" i="3"/>
  <c r="S29" i="3"/>
  <c r="R29" i="3"/>
  <c r="Q29" i="3"/>
  <c r="P29" i="3"/>
  <c r="Q21" i="3"/>
  <c r="D17" i="3"/>
  <c r="W16" i="3"/>
  <c r="V16" i="3"/>
  <c r="U16" i="3"/>
  <c r="T16" i="3"/>
  <c r="S16" i="3"/>
  <c r="J16" i="3"/>
  <c r="E16" i="3"/>
  <c r="D16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W11" i="3"/>
  <c r="V11" i="3"/>
  <c r="U11" i="3"/>
  <c r="T11" i="3"/>
  <c r="S11" i="3"/>
  <c r="R11" i="3"/>
  <c r="Q11" i="3"/>
  <c r="D11" i="3"/>
  <c r="P9" i="3"/>
  <c r="W6" i="3"/>
  <c r="V6" i="3"/>
  <c r="U6" i="3"/>
  <c r="T6" i="3"/>
  <c r="S6" i="3"/>
  <c r="R6" i="3"/>
  <c r="Q6" i="3"/>
  <c r="D6" i="3"/>
  <c r="W5" i="3"/>
  <c r="V5" i="3"/>
  <c r="U5" i="3"/>
  <c r="T5" i="3"/>
  <c r="S5" i="3"/>
  <c r="R5" i="3"/>
  <c r="Q5" i="3"/>
  <c r="C44" i="2"/>
  <c r="C27" i="2"/>
  <c r="C29" i="2" s="1"/>
  <c r="C25" i="2"/>
  <c r="O37" i="1"/>
  <c r="V35" i="1"/>
  <c r="U35" i="1"/>
  <c r="T35" i="1"/>
  <c r="S35" i="1"/>
  <c r="R35" i="1"/>
  <c r="Q35" i="1"/>
  <c r="P35" i="1"/>
  <c r="C35" i="1"/>
  <c r="G16" i="3"/>
  <c r="V22" i="1"/>
  <c r="U22" i="1"/>
  <c r="T22" i="1"/>
  <c r="S22" i="1"/>
  <c r="R22" i="1"/>
  <c r="Q22" i="1"/>
  <c r="P22" i="1"/>
  <c r="F18" i="1"/>
  <c r="G18" i="1" s="1"/>
  <c r="H18" i="1" s="1"/>
  <c r="I18" i="1" s="1"/>
  <c r="J18" i="1" s="1"/>
  <c r="K18" i="1" s="1"/>
  <c r="L18" i="1" s="1"/>
  <c r="M18" i="1" s="1"/>
  <c r="N18" i="1" s="1"/>
  <c r="V14" i="1"/>
  <c r="U14" i="1"/>
  <c r="T14" i="1"/>
  <c r="S14" i="1"/>
  <c r="R14" i="1"/>
  <c r="R37" i="1" s="1"/>
  <c r="Q14" i="1"/>
  <c r="P14" i="1"/>
  <c r="F10" i="1"/>
  <c r="G10" i="1" s="1"/>
  <c r="H10" i="1" s="1"/>
  <c r="C6" i="1"/>
  <c r="V7" i="3" l="1"/>
  <c r="V9" i="3" s="1"/>
  <c r="T7" i="3"/>
  <c r="T9" i="3" s="1"/>
  <c r="T31" i="3" s="1"/>
  <c r="G9" i="7"/>
  <c r="C22" i="1"/>
  <c r="V36" i="6"/>
  <c r="U36" i="6"/>
  <c r="C12" i="2"/>
  <c r="D5" i="2"/>
  <c r="P36" i="6"/>
  <c r="G28" i="6"/>
  <c r="W9" i="8"/>
  <c r="W14" i="8" s="1"/>
  <c r="W19" i="8" s="1"/>
  <c r="W25" i="8" s="1"/>
  <c r="T7" i="8"/>
  <c r="I10" i="9"/>
  <c r="J10" i="9" s="1"/>
  <c r="K10" i="9" s="1"/>
  <c r="P37" i="1"/>
  <c r="R9" i="8"/>
  <c r="R14" i="8" s="1"/>
  <c r="R19" i="8" s="1"/>
  <c r="R25" i="8" s="1"/>
  <c r="V7" i="8"/>
  <c r="V9" i="8" s="1"/>
  <c r="G8" i="4"/>
  <c r="H8" i="4" s="1"/>
  <c r="G4" i="4"/>
  <c r="D10" i="4" s="1"/>
  <c r="G10" i="4" s="1"/>
  <c r="H10" i="4" s="1"/>
  <c r="I10" i="4" s="1"/>
  <c r="J10" i="4" s="1"/>
  <c r="K10" i="4" s="1"/>
  <c r="E11" i="1"/>
  <c r="Q36" i="6"/>
  <c r="U9" i="8"/>
  <c r="U37" i="1"/>
  <c r="T9" i="8"/>
  <c r="T14" i="8" s="1"/>
  <c r="T19" i="8" s="1"/>
  <c r="T25" i="8" s="1"/>
  <c r="U7" i="3"/>
  <c r="U9" i="3" s="1"/>
  <c r="R36" i="6"/>
  <c r="F18" i="4"/>
  <c r="D10" i="2" s="1"/>
  <c r="F5" i="4"/>
  <c r="S7" i="3"/>
  <c r="S9" i="3" s="1"/>
  <c r="V37" i="1"/>
  <c r="W7" i="3"/>
  <c r="W9" i="3" s="1"/>
  <c r="R7" i="3"/>
  <c r="R9" i="3" s="1"/>
  <c r="F32" i="6"/>
  <c r="G32" i="6" s="1"/>
  <c r="H31" i="6"/>
  <c r="I31" i="6" s="1"/>
  <c r="J31" i="6" s="1"/>
  <c r="F4" i="6"/>
  <c r="G21" i="8" s="1"/>
  <c r="F10" i="7"/>
  <c r="F12" i="7" s="1"/>
  <c r="G6" i="8"/>
  <c r="G8" i="9"/>
  <c r="G18" i="9" s="1"/>
  <c r="E9" i="7"/>
  <c r="D73" i="8" s="1"/>
  <c r="E73" i="8" s="1"/>
  <c r="H6" i="8"/>
  <c r="G10" i="7"/>
  <c r="G12" i="7" s="1"/>
  <c r="C15" i="7"/>
  <c r="C18" i="7" s="1"/>
  <c r="C19" i="6" s="1"/>
  <c r="D5" i="8"/>
  <c r="D9" i="8" s="1"/>
  <c r="D51" i="8"/>
  <c r="D52" i="8" s="1"/>
  <c r="T31" i="8"/>
  <c r="C36" i="7"/>
  <c r="C33" i="7"/>
  <c r="C35" i="7" s="1"/>
  <c r="G9" i="6"/>
  <c r="H9" i="6" s="1"/>
  <c r="H5" i="7"/>
  <c r="H28" i="6" s="1"/>
  <c r="C48" i="7"/>
  <c r="E50" i="7" s="1"/>
  <c r="I44" i="7"/>
  <c r="D61" i="8"/>
  <c r="D67" i="8"/>
  <c r="F16" i="6"/>
  <c r="I4" i="7"/>
  <c r="E6" i="6"/>
  <c r="F10" i="6"/>
  <c r="G10" i="6" s="1"/>
  <c r="H10" i="6" s="1"/>
  <c r="I10" i="6" s="1"/>
  <c r="J10" i="6" s="1"/>
  <c r="K10" i="6" s="1"/>
  <c r="L10" i="6" s="1"/>
  <c r="M10" i="6" s="1"/>
  <c r="N10" i="6" s="1"/>
  <c r="E5" i="8"/>
  <c r="E9" i="8" s="1"/>
  <c r="F19" i="9"/>
  <c r="C54" i="7"/>
  <c r="D54" i="7" s="1"/>
  <c r="S7" i="8"/>
  <c r="S9" i="8" s="1"/>
  <c r="I9" i="9"/>
  <c r="S36" i="6"/>
  <c r="F28" i="6"/>
  <c r="P14" i="8"/>
  <c r="P19" i="8" s="1"/>
  <c r="P25" i="8" s="1"/>
  <c r="H4" i="9"/>
  <c r="U31" i="8"/>
  <c r="U14" i="8"/>
  <c r="U19" i="8" s="1"/>
  <c r="U25" i="8" s="1"/>
  <c r="Q7" i="8"/>
  <c r="Q9" i="8" s="1"/>
  <c r="H7" i="6"/>
  <c r="F16" i="8"/>
  <c r="D5" i="3"/>
  <c r="D9" i="3" s="1"/>
  <c r="D31" i="3" s="1"/>
  <c r="G17" i="1"/>
  <c r="C33" i="2"/>
  <c r="C35" i="2" s="1"/>
  <c r="C36" i="2"/>
  <c r="I10" i="1"/>
  <c r="D21" i="3"/>
  <c r="S37" i="1"/>
  <c r="T37" i="1"/>
  <c r="I16" i="3"/>
  <c r="H16" i="3"/>
  <c r="Q37" i="1"/>
  <c r="G33" i="1"/>
  <c r="I9" i="4"/>
  <c r="P14" i="3"/>
  <c r="P19" i="3" s="1"/>
  <c r="P25" i="3" s="1"/>
  <c r="P31" i="3"/>
  <c r="C54" i="2"/>
  <c r="D54" i="2" s="1"/>
  <c r="C48" i="2"/>
  <c r="E50" i="2" s="1"/>
  <c r="I44" i="2"/>
  <c r="Q7" i="3"/>
  <c r="Q9" i="3" s="1"/>
  <c r="F16" i="3"/>
  <c r="T14" i="3" l="1"/>
  <c r="T19" i="3" s="1"/>
  <c r="T25" i="3" s="1"/>
  <c r="D31" i="1"/>
  <c r="D9" i="2"/>
  <c r="D12" i="2" s="1"/>
  <c r="C15" i="2"/>
  <c r="C18" i="2" s="1"/>
  <c r="W31" i="8"/>
  <c r="D29" i="1"/>
  <c r="R31" i="8"/>
  <c r="L10" i="9"/>
  <c r="D32" i="1"/>
  <c r="L10" i="4"/>
  <c r="I8" i="4"/>
  <c r="G18" i="4"/>
  <c r="E10" i="2" s="1"/>
  <c r="F6" i="3" s="1"/>
  <c r="V14" i="8"/>
  <c r="V19" i="8" s="1"/>
  <c r="V25" i="8" s="1"/>
  <c r="V31" i="8"/>
  <c r="C43" i="3"/>
  <c r="D4" i="1"/>
  <c r="E6" i="3"/>
  <c r="E8" i="1"/>
  <c r="E5" i="2"/>
  <c r="E9" i="2" s="1"/>
  <c r="H4" i="4"/>
  <c r="H11" i="4" s="1"/>
  <c r="H18" i="4" s="1"/>
  <c r="G19" i="9"/>
  <c r="G5" i="6" s="1"/>
  <c r="G6" i="6" s="1"/>
  <c r="H21" i="8"/>
  <c r="H9" i="7"/>
  <c r="G5" i="4"/>
  <c r="E4" i="1" s="1"/>
  <c r="F19" i="4"/>
  <c r="D5" i="1" s="1"/>
  <c r="R14" i="3"/>
  <c r="R19" i="3" s="1"/>
  <c r="R25" i="3" s="1"/>
  <c r="R31" i="3"/>
  <c r="W31" i="3"/>
  <c r="W14" i="3"/>
  <c r="W19" i="3" s="1"/>
  <c r="W25" i="3" s="1"/>
  <c r="H32" i="6"/>
  <c r="F15" i="7"/>
  <c r="F16" i="7" s="1"/>
  <c r="F18" i="7" s="1"/>
  <c r="F19" i="6" s="1"/>
  <c r="G5" i="8"/>
  <c r="E12" i="7"/>
  <c r="E15" i="7" s="1"/>
  <c r="Q31" i="8"/>
  <c r="Q14" i="8"/>
  <c r="Q19" i="8" s="1"/>
  <c r="Q25" i="8" s="1"/>
  <c r="H5" i="8"/>
  <c r="G15" i="7"/>
  <c r="S31" i="8"/>
  <c r="S14" i="8"/>
  <c r="S19" i="8" s="1"/>
  <c r="S25" i="8" s="1"/>
  <c r="D60" i="8"/>
  <c r="D68" i="8" s="1"/>
  <c r="D35" i="8" s="1"/>
  <c r="D66" i="8"/>
  <c r="K31" i="6"/>
  <c r="D31" i="8"/>
  <c r="D14" i="8"/>
  <c r="D19" i="8" s="1"/>
  <c r="D25" i="8" s="1"/>
  <c r="C11" i="6" s="1"/>
  <c r="D35" i="7"/>
  <c r="C37" i="7"/>
  <c r="C39" i="7" s="1"/>
  <c r="D18" i="6"/>
  <c r="C21" i="6"/>
  <c r="J9" i="9"/>
  <c r="F5" i="6"/>
  <c r="F6" i="6" s="1"/>
  <c r="F20" i="9"/>
  <c r="E52" i="7"/>
  <c r="E54" i="7" s="1"/>
  <c r="F50" i="7"/>
  <c r="I6" i="7"/>
  <c r="I4" i="9"/>
  <c r="I7" i="6"/>
  <c r="J4" i="7"/>
  <c r="I5" i="7"/>
  <c r="D11" i="9"/>
  <c r="H5" i="9"/>
  <c r="H11" i="9"/>
  <c r="E31" i="8"/>
  <c r="E14" i="8"/>
  <c r="E19" i="8" s="1"/>
  <c r="E25" i="8" s="1"/>
  <c r="G16" i="8"/>
  <c r="I9" i="6"/>
  <c r="G16" i="6"/>
  <c r="E52" i="2"/>
  <c r="E54" i="2" s="1"/>
  <c r="F50" i="2"/>
  <c r="U31" i="3"/>
  <c r="U14" i="3"/>
  <c r="U19" i="3" s="1"/>
  <c r="U25" i="3" s="1"/>
  <c r="V31" i="3"/>
  <c r="V14" i="3"/>
  <c r="V19" i="3" s="1"/>
  <c r="V25" i="3" s="1"/>
  <c r="D14" i="3"/>
  <c r="D19" i="3" s="1"/>
  <c r="D25" i="3" s="1"/>
  <c r="D35" i="2"/>
  <c r="C37" i="2"/>
  <c r="C39" i="2" s="1"/>
  <c r="S31" i="3"/>
  <c r="S14" i="3"/>
  <c r="S19" i="3" s="1"/>
  <c r="S25" i="3" s="1"/>
  <c r="J9" i="4"/>
  <c r="H17" i="1"/>
  <c r="J10" i="1"/>
  <c r="K10" i="1" s="1"/>
  <c r="Q31" i="3"/>
  <c r="Q14" i="3"/>
  <c r="Q19" i="3" s="1"/>
  <c r="Q25" i="3" s="1"/>
  <c r="H33" i="1"/>
  <c r="E12" i="2" l="1"/>
  <c r="F5" i="3" s="1"/>
  <c r="D6" i="1"/>
  <c r="F20" i="4"/>
  <c r="G19" i="4"/>
  <c r="E5" i="1" s="1"/>
  <c r="E6" i="1" s="1"/>
  <c r="D35" i="3"/>
  <c r="W37" i="3" s="1"/>
  <c r="E30" i="5"/>
  <c r="F30" i="5" s="1"/>
  <c r="G30" i="5" s="1"/>
  <c r="H30" i="5" s="1"/>
  <c r="I30" i="5" s="1"/>
  <c r="J30" i="5" s="1"/>
  <c r="K30" i="5" s="1"/>
  <c r="L30" i="5" s="1"/>
  <c r="M30" i="5" s="1"/>
  <c r="N30" i="5" s="1"/>
  <c r="O30" i="5" s="1"/>
  <c r="P30" i="5" s="1"/>
  <c r="G20" i="9"/>
  <c r="J8" i="4"/>
  <c r="K8" i="4" s="1"/>
  <c r="I11" i="4"/>
  <c r="D11" i="4"/>
  <c r="E21" i="3"/>
  <c r="E29" i="1"/>
  <c r="E31" i="1"/>
  <c r="I9" i="7"/>
  <c r="D15" i="2"/>
  <c r="E5" i="3"/>
  <c r="F8" i="1"/>
  <c r="F5" i="2"/>
  <c r="F9" i="2" s="1"/>
  <c r="I4" i="4"/>
  <c r="D12" i="4" s="1"/>
  <c r="E32" i="1"/>
  <c r="F11" i="1"/>
  <c r="F21" i="3"/>
  <c r="I32" i="6"/>
  <c r="J32" i="6" s="1"/>
  <c r="F5" i="8"/>
  <c r="I11" i="9"/>
  <c r="H18" i="9"/>
  <c r="F52" i="7"/>
  <c r="F54" i="7" s="1"/>
  <c r="G50" i="7"/>
  <c r="H4" i="6"/>
  <c r="D21" i="6"/>
  <c r="E18" i="6"/>
  <c r="I16" i="8"/>
  <c r="I28" i="6"/>
  <c r="I30" i="6"/>
  <c r="H16" i="8"/>
  <c r="D11" i="6"/>
  <c r="C13" i="6"/>
  <c r="C36" i="6" s="1"/>
  <c r="K9" i="9"/>
  <c r="E35" i="7"/>
  <c r="J4" i="9"/>
  <c r="J5" i="7"/>
  <c r="J6" i="7"/>
  <c r="K4" i="7"/>
  <c r="J7" i="6"/>
  <c r="I5" i="9"/>
  <c r="D12" i="9"/>
  <c r="P38" i="8"/>
  <c r="P40" i="8" s="1"/>
  <c r="H38" i="8"/>
  <c r="W38" i="8"/>
  <c r="W40" i="8" s="1"/>
  <c r="O38" i="8"/>
  <c r="G38" i="8"/>
  <c r="U38" i="8"/>
  <c r="U40" i="8" s="1"/>
  <c r="M38" i="8"/>
  <c r="E38" i="8"/>
  <c r="S38" i="8"/>
  <c r="S40" i="8" s="1"/>
  <c r="K38" i="8"/>
  <c r="C38" i="8"/>
  <c r="R38" i="8"/>
  <c r="R40" i="8" s="1"/>
  <c r="J38" i="8"/>
  <c r="V38" i="8"/>
  <c r="V40" i="8" s="1"/>
  <c r="T38" i="8"/>
  <c r="T40" i="8" s="1"/>
  <c r="Q38" i="8"/>
  <c r="Q40" i="8" s="1"/>
  <c r="N38" i="8"/>
  <c r="L38" i="8"/>
  <c r="I38" i="8"/>
  <c r="F38" i="8"/>
  <c r="D38" i="8"/>
  <c r="F29" i="6"/>
  <c r="G11" i="8"/>
  <c r="G16" i="7"/>
  <c r="D36" i="7"/>
  <c r="D37" i="7" s="1"/>
  <c r="D39" i="7" s="1"/>
  <c r="H16" i="6"/>
  <c r="D74" i="8"/>
  <c r="E74" i="8" s="1"/>
  <c r="L31" i="6"/>
  <c r="J9" i="6"/>
  <c r="K9" i="4"/>
  <c r="D36" i="2"/>
  <c r="D37" i="2" s="1"/>
  <c r="D39" i="2" s="1"/>
  <c r="I17" i="1"/>
  <c r="E35" i="2"/>
  <c r="C14" i="1"/>
  <c r="C37" i="1" s="1"/>
  <c r="F52" i="2"/>
  <c r="G50" i="2"/>
  <c r="L10" i="1"/>
  <c r="M10" i="1" s="1"/>
  <c r="I33" i="1"/>
  <c r="J33" i="1" s="1"/>
  <c r="F54" i="2"/>
  <c r="I40" i="3" l="1"/>
  <c r="Q37" i="3"/>
  <c r="R37" i="3"/>
  <c r="S37" i="3"/>
  <c r="V37" i="3"/>
  <c r="G40" i="3"/>
  <c r="T37" i="3"/>
  <c r="P37" i="3"/>
  <c r="U37" i="3"/>
  <c r="K40" i="3"/>
  <c r="N40" i="3"/>
  <c r="H40" i="3"/>
  <c r="R40" i="3"/>
  <c r="O40" i="3"/>
  <c r="L40" i="3"/>
  <c r="C40" i="3"/>
  <c r="W40" i="3"/>
  <c r="T40" i="3"/>
  <c r="E40" i="3"/>
  <c r="P40" i="3"/>
  <c r="V40" i="3"/>
  <c r="M40" i="3"/>
  <c r="Q40" i="3"/>
  <c r="F40" i="3"/>
  <c r="U40" i="3"/>
  <c r="S40" i="3"/>
  <c r="D40" i="3"/>
  <c r="J40" i="3"/>
  <c r="G20" i="4"/>
  <c r="E15" i="2"/>
  <c r="E16" i="2" s="1"/>
  <c r="E30" i="1" s="1"/>
  <c r="F32" i="1"/>
  <c r="J9" i="7"/>
  <c r="G11" i="1"/>
  <c r="J11" i="4"/>
  <c r="K11" i="4" s="1"/>
  <c r="L11" i="4" s="1"/>
  <c r="D16" i="2"/>
  <c r="D18" i="2" s="1"/>
  <c r="D20" i="1" s="1"/>
  <c r="G8" i="1"/>
  <c r="G5" i="2"/>
  <c r="G9" i="2" s="1"/>
  <c r="J4" i="4"/>
  <c r="D13" i="4" s="1"/>
  <c r="I12" i="4"/>
  <c r="J12" i="4" s="1"/>
  <c r="K12" i="4" s="1"/>
  <c r="L12" i="4" s="1"/>
  <c r="M12" i="4" s="1"/>
  <c r="F29" i="1"/>
  <c r="F31" i="1"/>
  <c r="H5" i="4"/>
  <c r="F4" i="1" s="1"/>
  <c r="K32" i="6"/>
  <c r="L32" i="6" s="1"/>
  <c r="E36" i="7"/>
  <c r="E37" i="7" s="1"/>
  <c r="E39" i="7" s="1"/>
  <c r="K5" i="7"/>
  <c r="L4" i="7"/>
  <c r="K4" i="9"/>
  <c r="K7" i="6"/>
  <c r="K6" i="7"/>
  <c r="L9" i="9"/>
  <c r="G52" i="7"/>
  <c r="G54" i="7" s="1"/>
  <c r="H50" i="7"/>
  <c r="D13" i="6"/>
  <c r="D36" i="6" s="1"/>
  <c r="J11" i="9"/>
  <c r="F35" i="7"/>
  <c r="I21" i="8"/>
  <c r="I12" i="9"/>
  <c r="J12" i="9" s="1"/>
  <c r="I4" i="6"/>
  <c r="J28" i="6"/>
  <c r="J30" i="6"/>
  <c r="G29" i="6"/>
  <c r="H11" i="8"/>
  <c r="H19" i="9"/>
  <c r="I6" i="8"/>
  <c r="H10" i="7"/>
  <c r="H12" i="7" s="1"/>
  <c r="I16" i="6"/>
  <c r="G18" i="7"/>
  <c r="G19" i="6" s="1"/>
  <c r="M31" i="6"/>
  <c r="N31" i="6" s="1"/>
  <c r="D13" i="9"/>
  <c r="J5" i="9"/>
  <c r="F11" i="8"/>
  <c r="G29" i="8"/>
  <c r="F34" i="6"/>
  <c r="E18" i="7"/>
  <c r="E19" i="6" s="1"/>
  <c r="E21" i="6" s="1"/>
  <c r="K9" i="6"/>
  <c r="L9" i="6" s="1"/>
  <c r="E36" i="2"/>
  <c r="E37" i="2" s="1"/>
  <c r="E39" i="2" s="1"/>
  <c r="F35" i="2"/>
  <c r="G52" i="2"/>
  <c r="G54" i="2" s="1"/>
  <c r="H50" i="2"/>
  <c r="J17" i="1"/>
  <c r="N10" i="1"/>
  <c r="K33" i="1"/>
  <c r="L33" i="1" s="1"/>
  <c r="M11" i="4" l="1"/>
  <c r="E35" i="1"/>
  <c r="F29" i="3"/>
  <c r="G32" i="1"/>
  <c r="N12" i="4"/>
  <c r="E18" i="2"/>
  <c r="E20" i="1" s="1"/>
  <c r="E19" i="1"/>
  <c r="D22" i="1"/>
  <c r="D30" i="1"/>
  <c r="E11" i="3"/>
  <c r="H8" i="1"/>
  <c r="H5" i="2"/>
  <c r="K4" i="4"/>
  <c r="D14" i="4" s="1"/>
  <c r="I4" i="2"/>
  <c r="K9" i="7"/>
  <c r="F11" i="3"/>
  <c r="G29" i="1"/>
  <c r="G31" i="1"/>
  <c r="H11" i="1"/>
  <c r="G21" i="3"/>
  <c r="I5" i="4"/>
  <c r="G4" i="1" s="1"/>
  <c r="F10" i="2"/>
  <c r="M32" i="6"/>
  <c r="N32" i="6" s="1"/>
  <c r="F18" i="6"/>
  <c r="G18" i="6" s="1"/>
  <c r="F36" i="7"/>
  <c r="J16" i="6"/>
  <c r="I50" i="7"/>
  <c r="H52" i="7"/>
  <c r="H54" i="7" s="1"/>
  <c r="K12" i="9"/>
  <c r="K5" i="9"/>
  <c r="D14" i="9"/>
  <c r="K11" i="9"/>
  <c r="L11" i="9" s="1"/>
  <c r="L4" i="9"/>
  <c r="M4" i="7"/>
  <c r="L7" i="6"/>
  <c r="L6" i="7"/>
  <c r="L5" i="7"/>
  <c r="F29" i="8"/>
  <c r="F7" i="8" s="1"/>
  <c r="F9" i="8" s="1"/>
  <c r="E34" i="6"/>
  <c r="J4" i="6"/>
  <c r="H29" i="8"/>
  <c r="H7" i="8" s="1"/>
  <c r="H9" i="8" s="1"/>
  <c r="G34" i="6"/>
  <c r="F37" i="7"/>
  <c r="F39" i="7" s="1"/>
  <c r="G35" i="7"/>
  <c r="I5" i="8"/>
  <c r="H15" i="7"/>
  <c r="J21" i="8"/>
  <c r="H5" i="6"/>
  <c r="H6" i="6" s="1"/>
  <c r="H20" i="9"/>
  <c r="J13" i="9"/>
  <c r="K13" i="9" s="1"/>
  <c r="I18" i="9"/>
  <c r="M9" i="6"/>
  <c r="N9" i="6" s="1"/>
  <c r="K28" i="6"/>
  <c r="K30" i="6"/>
  <c r="F36" i="2"/>
  <c r="I50" i="2"/>
  <c r="H52" i="2"/>
  <c r="H54" i="2" s="1"/>
  <c r="K17" i="1"/>
  <c r="G35" i="2"/>
  <c r="F37" i="2"/>
  <c r="F39" i="2" s="1"/>
  <c r="M33" i="1"/>
  <c r="N33" i="1" s="1"/>
  <c r="I11" i="1" l="1"/>
  <c r="L9" i="7"/>
  <c r="G6" i="3"/>
  <c r="F12" i="2"/>
  <c r="H29" i="1"/>
  <c r="H31" i="1"/>
  <c r="H32" i="1"/>
  <c r="D35" i="1"/>
  <c r="E29" i="3"/>
  <c r="L4" i="4"/>
  <c r="D15" i="4" s="1"/>
  <c r="I8" i="1"/>
  <c r="I5" i="2"/>
  <c r="J4" i="2"/>
  <c r="J18" i="9"/>
  <c r="E22" i="1"/>
  <c r="F19" i="1"/>
  <c r="H9" i="2"/>
  <c r="H21" i="3"/>
  <c r="J5" i="4"/>
  <c r="H4" i="1" s="1"/>
  <c r="J13" i="4"/>
  <c r="I18" i="4"/>
  <c r="G10" i="2" s="1"/>
  <c r="H19" i="4"/>
  <c r="F5" i="1" s="1"/>
  <c r="F6" i="1" s="1"/>
  <c r="F21" i="6"/>
  <c r="G36" i="7"/>
  <c r="M11" i="9"/>
  <c r="H16" i="7"/>
  <c r="H18" i="7" s="1"/>
  <c r="H19" i="6" s="1"/>
  <c r="K14" i="9"/>
  <c r="L14" i="9" s="1"/>
  <c r="M4" i="9"/>
  <c r="N4" i="7"/>
  <c r="M7" i="6"/>
  <c r="M6" i="7"/>
  <c r="M5" i="7"/>
  <c r="M9" i="7" s="1"/>
  <c r="K16" i="6"/>
  <c r="D15" i="9"/>
  <c r="L5" i="9"/>
  <c r="I19" i="9"/>
  <c r="J6" i="8"/>
  <c r="I10" i="7"/>
  <c r="I12" i="7" s="1"/>
  <c r="H35" i="7"/>
  <c r="G37" i="7"/>
  <c r="G39" i="7" s="1"/>
  <c r="F31" i="8"/>
  <c r="F14" i="8"/>
  <c r="F19" i="8" s="1"/>
  <c r="F25" i="8" s="1"/>
  <c r="L13" i="9"/>
  <c r="L28" i="6"/>
  <c r="L30" i="6"/>
  <c r="H31" i="8"/>
  <c r="H40" i="8" s="1"/>
  <c r="H14" i="8"/>
  <c r="H19" i="8" s="1"/>
  <c r="H25" i="8" s="1"/>
  <c r="K6" i="8"/>
  <c r="J10" i="7"/>
  <c r="J12" i="7" s="1"/>
  <c r="J50" i="7"/>
  <c r="J52" i="7" s="1"/>
  <c r="I52" i="7"/>
  <c r="I54" i="7" s="1"/>
  <c r="H18" i="6"/>
  <c r="G21" i="6"/>
  <c r="K21" i="8"/>
  <c r="K4" i="6"/>
  <c r="L12" i="9"/>
  <c r="M12" i="9" s="1"/>
  <c r="G7" i="8"/>
  <c r="G9" i="8" s="1"/>
  <c r="G36" i="2"/>
  <c r="G37" i="2" s="1"/>
  <c r="G39" i="2" s="1"/>
  <c r="H35" i="2"/>
  <c r="J50" i="2"/>
  <c r="J52" i="2" s="1"/>
  <c r="I52" i="2"/>
  <c r="I54" i="2" s="1"/>
  <c r="L17" i="1"/>
  <c r="J54" i="2" l="1"/>
  <c r="H6" i="3"/>
  <c r="G12" i="2"/>
  <c r="E7" i="3"/>
  <c r="E9" i="3" s="1"/>
  <c r="F7" i="3"/>
  <c r="F9" i="3" s="1"/>
  <c r="K13" i="4"/>
  <c r="J5" i="2"/>
  <c r="J9" i="2" s="1"/>
  <c r="M4" i="4"/>
  <c r="D16" i="4" s="1"/>
  <c r="J8" i="1"/>
  <c r="K4" i="2"/>
  <c r="I32" i="1"/>
  <c r="I31" i="1"/>
  <c r="I29" i="1"/>
  <c r="I9" i="2"/>
  <c r="J19" i="9"/>
  <c r="G5" i="3"/>
  <c r="F15" i="2"/>
  <c r="J54" i="7"/>
  <c r="J11" i="1"/>
  <c r="I21" i="3"/>
  <c r="J18" i="4"/>
  <c r="H10" i="2" s="1"/>
  <c r="I6" i="3" s="1"/>
  <c r="I19" i="4"/>
  <c r="G5" i="1" s="1"/>
  <c r="G6" i="1" s="1"/>
  <c r="H20" i="4"/>
  <c r="K5" i="4"/>
  <c r="I4" i="1" s="1"/>
  <c r="K14" i="4"/>
  <c r="E11" i="6"/>
  <c r="H36" i="7"/>
  <c r="H37" i="7" s="1"/>
  <c r="H39" i="7" s="1"/>
  <c r="J5" i="6"/>
  <c r="J6" i="6" s="1"/>
  <c r="J20" i="9"/>
  <c r="G31" i="8"/>
  <c r="G40" i="8" s="1"/>
  <c r="G14" i="8"/>
  <c r="G19" i="8" s="1"/>
  <c r="G25" i="8" s="1"/>
  <c r="M30" i="6"/>
  <c r="M28" i="6"/>
  <c r="N12" i="9"/>
  <c r="I5" i="6"/>
  <c r="I6" i="6" s="1"/>
  <c r="I20" i="9"/>
  <c r="L21" i="8"/>
  <c r="L4" i="6"/>
  <c r="I11" i="8"/>
  <c r="H29" i="6"/>
  <c r="F40" i="8"/>
  <c r="I35" i="7"/>
  <c r="L16" i="6"/>
  <c r="N11" i="9"/>
  <c r="K18" i="9"/>
  <c r="I18" i="6"/>
  <c r="H21" i="6"/>
  <c r="J5" i="8"/>
  <c r="I15" i="7"/>
  <c r="M14" i="9"/>
  <c r="N14" i="9" s="1"/>
  <c r="M13" i="9"/>
  <c r="N13" i="9" s="1"/>
  <c r="N4" i="9"/>
  <c r="N7" i="6"/>
  <c r="N6" i="7"/>
  <c r="N5" i="7"/>
  <c r="J15" i="7"/>
  <c r="K5" i="8"/>
  <c r="E13" i="6"/>
  <c r="E36" i="6" s="1"/>
  <c r="L15" i="9"/>
  <c r="M15" i="9" s="1"/>
  <c r="M5" i="9"/>
  <c r="D16" i="9"/>
  <c r="M16" i="9" s="1"/>
  <c r="N16" i="9" s="1"/>
  <c r="H36" i="2"/>
  <c r="H37" i="2" s="1"/>
  <c r="H39" i="2" s="1"/>
  <c r="M17" i="1"/>
  <c r="I35" i="2"/>
  <c r="K11" i="1" l="1"/>
  <c r="L13" i="4"/>
  <c r="K18" i="4"/>
  <c r="J32" i="1"/>
  <c r="N9" i="7"/>
  <c r="F16" i="2"/>
  <c r="F31" i="3"/>
  <c r="F14" i="3"/>
  <c r="F19" i="3" s="1"/>
  <c r="F25" i="3" s="1"/>
  <c r="L18" i="9"/>
  <c r="M6" i="8" s="1"/>
  <c r="E31" i="3"/>
  <c r="E37" i="3" s="1"/>
  <c r="E14" i="3"/>
  <c r="E19" i="3" s="1"/>
  <c r="E25" i="3" s="1"/>
  <c r="D12" i="1" s="1"/>
  <c r="N4" i="4"/>
  <c r="D17" i="4" s="1"/>
  <c r="N17" i="4" s="1"/>
  <c r="K8" i="1"/>
  <c r="K5" i="2"/>
  <c r="L4" i="2"/>
  <c r="L14" i="4"/>
  <c r="M14" i="4" s="1"/>
  <c r="N14" i="4" s="1"/>
  <c r="O14" i="4" s="1"/>
  <c r="H5" i="3"/>
  <c r="G15" i="2"/>
  <c r="N15" i="9"/>
  <c r="N18" i="9" s="1"/>
  <c r="F11" i="6"/>
  <c r="F13" i="6" s="1"/>
  <c r="F36" i="6" s="1"/>
  <c r="J31" i="1"/>
  <c r="J29" i="1"/>
  <c r="H12" i="2"/>
  <c r="J21" i="3"/>
  <c r="J19" i="4"/>
  <c r="H5" i="1" s="1"/>
  <c r="H6" i="1" s="1"/>
  <c r="I20" i="4"/>
  <c r="L15" i="4"/>
  <c r="M15" i="4" s="1"/>
  <c r="N15" i="4" s="1"/>
  <c r="O15" i="4" s="1"/>
  <c r="P15" i="4" s="1"/>
  <c r="L5" i="4"/>
  <c r="J4" i="1" s="1"/>
  <c r="I36" i="7"/>
  <c r="M21" i="8"/>
  <c r="N5" i="9"/>
  <c r="D17" i="9"/>
  <c r="N17" i="9" s="1"/>
  <c r="M18" i="9"/>
  <c r="G11" i="6"/>
  <c r="L6" i="8"/>
  <c r="K10" i="7"/>
  <c r="K12" i="7" s="1"/>
  <c r="K19" i="9"/>
  <c r="J16" i="7"/>
  <c r="L19" i="9"/>
  <c r="H34" i="6"/>
  <c r="I29" i="8"/>
  <c r="I7" i="8" s="1"/>
  <c r="I9" i="8" s="1"/>
  <c r="M4" i="6"/>
  <c r="N30" i="6"/>
  <c r="N28" i="6"/>
  <c r="M16" i="6"/>
  <c r="I16" i="7"/>
  <c r="I18" i="7"/>
  <c r="I19" i="6" s="1"/>
  <c r="I21" i="6" s="1"/>
  <c r="I37" i="7"/>
  <c r="I39" i="7" s="1"/>
  <c r="J35" i="7"/>
  <c r="I36" i="2"/>
  <c r="N17" i="1"/>
  <c r="J35" i="2"/>
  <c r="I37" i="2"/>
  <c r="I39" i="2" s="1"/>
  <c r="F37" i="3" l="1"/>
  <c r="J18" i="6"/>
  <c r="M13" i="4"/>
  <c r="L18" i="4"/>
  <c r="O4" i="4"/>
  <c r="L8" i="1"/>
  <c r="L5" i="2"/>
  <c r="M4" i="2"/>
  <c r="K29" i="1"/>
  <c r="K31" i="1"/>
  <c r="K32" i="1"/>
  <c r="H15" i="2"/>
  <c r="H16" i="2" s="1"/>
  <c r="H30" i="1" s="1"/>
  <c r="I5" i="3"/>
  <c r="K9" i="2"/>
  <c r="F30" i="1"/>
  <c r="G11" i="3"/>
  <c r="G16" i="2"/>
  <c r="G18" i="2" s="1"/>
  <c r="G20" i="1" s="1"/>
  <c r="F18" i="2"/>
  <c r="F20" i="1" s="1"/>
  <c r="L10" i="7"/>
  <c r="L12" i="7" s="1"/>
  <c r="D14" i="1"/>
  <c r="D37" i="1" s="1"/>
  <c r="E12" i="1"/>
  <c r="P14" i="4"/>
  <c r="L11" i="1"/>
  <c r="I10" i="2"/>
  <c r="K21" i="3"/>
  <c r="M5" i="4"/>
  <c r="K4" i="1" s="1"/>
  <c r="M16" i="4"/>
  <c r="N16" i="4" s="1"/>
  <c r="O16" i="4" s="1"/>
  <c r="P16" i="4" s="1"/>
  <c r="J20" i="4"/>
  <c r="K19" i="4"/>
  <c r="I5" i="1" s="1"/>
  <c r="I6" i="1" s="1"/>
  <c r="J36" i="7"/>
  <c r="J37" i="7"/>
  <c r="J39" i="7" s="1"/>
  <c r="K35" i="7"/>
  <c r="M10" i="7"/>
  <c r="M12" i="7" s="1"/>
  <c r="N6" i="8"/>
  <c r="M19" i="9"/>
  <c r="J29" i="6"/>
  <c r="K11" i="8"/>
  <c r="I31" i="8"/>
  <c r="I14" i="8"/>
  <c r="I19" i="8" s="1"/>
  <c r="I25" i="8" s="1"/>
  <c r="H11" i="6" s="1"/>
  <c r="N4" i="6"/>
  <c r="L5" i="6"/>
  <c r="L6" i="6" s="1"/>
  <c r="L20" i="9"/>
  <c r="N21" i="8"/>
  <c r="G13" i="6"/>
  <c r="G36" i="6" s="1"/>
  <c r="N10" i="7"/>
  <c r="N12" i="7" s="1"/>
  <c r="O6" i="8"/>
  <c r="J11" i="8"/>
  <c r="I29" i="6"/>
  <c r="J18" i="7"/>
  <c r="J19" i="6" s="1"/>
  <c r="K18" i="6" s="1"/>
  <c r="K5" i="6"/>
  <c r="K6" i="6" s="1"/>
  <c r="K20" i="9"/>
  <c r="N16" i="6"/>
  <c r="L15" i="7"/>
  <c r="M5" i="8"/>
  <c r="K15" i="7"/>
  <c r="L5" i="8"/>
  <c r="J36" i="2"/>
  <c r="J37" i="2" s="1"/>
  <c r="J39" i="2" s="1"/>
  <c r="K35" i="2"/>
  <c r="M11" i="1" l="1"/>
  <c r="L32" i="1"/>
  <c r="N13" i="4"/>
  <c r="M18" i="4"/>
  <c r="K10" i="2" s="1"/>
  <c r="L6" i="3" s="1"/>
  <c r="H18" i="2"/>
  <c r="H20" i="1" s="1"/>
  <c r="I11" i="3"/>
  <c r="J10" i="2"/>
  <c r="I12" i="2"/>
  <c r="I15" i="2" s="1"/>
  <c r="J6" i="3"/>
  <c r="G30" i="1"/>
  <c r="H11" i="3"/>
  <c r="M8" i="1"/>
  <c r="M5" i="2"/>
  <c r="P4" i="4"/>
  <c r="N4" i="2"/>
  <c r="G29" i="3"/>
  <c r="G7" i="3" s="1"/>
  <c r="G9" i="3" s="1"/>
  <c r="F35" i="1"/>
  <c r="L29" i="1"/>
  <c r="L31" i="1"/>
  <c r="E14" i="1"/>
  <c r="E37" i="1" s="1"/>
  <c r="G19" i="1"/>
  <c r="F22" i="1"/>
  <c r="L9" i="2"/>
  <c r="L21" i="3"/>
  <c r="N5" i="4"/>
  <c r="L4" i="1" s="1"/>
  <c r="H35" i="1"/>
  <c r="I29" i="3"/>
  <c r="K20" i="4"/>
  <c r="L19" i="4"/>
  <c r="J5" i="1" s="1"/>
  <c r="J6" i="1" s="1"/>
  <c r="J21" i="6"/>
  <c r="K36" i="7"/>
  <c r="K37" i="7" s="1"/>
  <c r="K39" i="7" s="1"/>
  <c r="M5" i="6"/>
  <c r="M6" i="6" s="1"/>
  <c r="M20" i="9"/>
  <c r="O21" i="8"/>
  <c r="K16" i="7"/>
  <c r="I34" i="6"/>
  <c r="J29" i="8"/>
  <c r="J7" i="8" s="1"/>
  <c r="J9" i="8" s="1"/>
  <c r="L16" i="7"/>
  <c r="N19" i="9"/>
  <c r="K29" i="8"/>
  <c r="J34" i="6"/>
  <c r="N5" i="8"/>
  <c r="M15" i="7"/>
  <c r="H13" i="6"/>
  <c r="H36" i="6" s="1"/>
  <c r="L35" i="7"/>
  <c r="I40" i="8"/>
  <c r="O5" i="8"/>
  <c r="N15" i="7"/>
  <c r="K36" i="2"/>
  <c r="L35" i="2"/>
  <c r="K37" i="2"/>
  <c r="K39" i="2" s="1"/>
  <c r="O5" i="4" l="1"/>
  <c r="M4" i="1" s="1"/>
  <c r="M32" i="1"/>
  <c r="N11" i="1"/>
  <c r="M9" i="2"/>
  <c r="N18" i="4"/>
  <c r="L10" i="2" s="1"/>
  <c r="M6" i="3" s="1"/>
  <c r="O13" i="4"/>
  <c r="I16" i="2"/>
  <c r="I30" i="1" s="1"/>
  <c r="I35" i="1" s="1"/>
  <c r="O17" i="4"/>
  <c r="G31" i="3"/>
  <c r="G37" i="3" s="1"/>
  <c r="G14" i="3"/>
  <c r="G19" i="3" s="1"/>
  <c r="G25" i="3" s="1"/>
  <c r="F12" i="1" s="1"/>
  <c r="H29" i="3"/>
  <c r="H7" i="3" s="1"/>
  <c r="H9" i="3" s="1"/>
  <c r="G35" i="1"/>
  <c r="N8" i="1"/>
  <c r="N5" i="2"/>
  <c r="N9" i="2" s="1"/>
  <c r="K6" i="3"/>
  <c r="J12" i="2"/>
  <c r="J5" i="3"/>
  <c r="M29" i="1"/>
  <c r="M31" i="1"/>
  <c r="H19" i="1"/>
  <c r="G22" i="1"/>
  <c r="K12" i="2"/>
  <c r="M19" i="4"/>
  <c r="K5" i="1" s="1"/>
  <c r="K6" i="1" s="1"/>
  <c r="L20" i="4"/>
  <c r="L36" i="7"/>
  <c r="M11" i="8"/>
  <c r="L29" i="6"/>
  <c r="M35" i="7"/>
  <c r="L37" i="7"/>
  <c r="L39" i="7" s="1"/>
  <c r="K29" i="6"/>
  <c r="L11" i="8"/>
  <c r="N16" i="7"/>
  <c r="N18" i="7" s="1"/>
  <c r="N19" i="6" s="1"/>
  <c r="N5" i="6"/>
  <c r="N6" i="6" s="1"/>
  <c r="N20" i="9"/>
  <c r="M16" i="7"/>
  <c r="M18" i="7" s="1"/>
  <c r="M19" i="6" s="1"/>
  <c r="L18" i="7"/>
  <c r="L19" i="6" s="1"/>
  <c r="J14" i="8"/>
  <c r="J19" i="8" s="1"/>
  <c r="J25" i="8" s="1"/>
  <c r="I11" i="6" s="1"/>
  <c r="J31" i="8"/>
  <c r="K7" i="8"/>
  <c r="K9" i="8" s="1"/>
  <c r="K18" i="7"/>
  <c r="K19" i="6" s="1"/>
  <c r="L36" i="2"/>
  <c r="L37" i="2" s="1"/>
  <c r="L39" i="2" s="1"/>
  <c r="M35" i="2"/>
  <c r="P5" i="4" l="1"/>
  <c r="N4" i="1" s="1"/>
  <c r="O18" i="4"/>
  <c r="M10" i="2" s="1"/>
  <c r="F14" i="1"/>
  <c r="F37" i="1" s="1"/>
  <c r="I7" i="3"/>
  <c r="I9" i="3" s="1"/>
  <c r="H31" i="3"/>
  <c r="H14" i="3"/>
  <c r="H19" i="3" s="1"/>
  <c r="H25" i="3" s="1"/>
  <c r="G12" i="1" s="1"/>
  <c r="G14" i="1" s="1"/>
  <c r="G37" i="1" s="1"/>
  <c r="I19" i="1"/>
  <c r="H22" i="1"/>
  <c r="P17" i="4"/>
  <c r="J15" i="2"/>
  <c r="K5" i="3"/>
  <c r="L5" i="3"/>
  <c r="K15" i="2"/>
  <c r="N29" i="1"/>
  <c r="N31" i="1"/>
  <c r="N32" i="1"/>
  <c r="I18" i="2"/>
  <c r="I20" i="1" s="1"/>
  <c r="J11" i="3"/>
  <c r="L12" i="2"/>
  <c r="J29" i="3"/>
  <c r="J7" i="3" s="1"/>
  <c r="J9" i="3" s="1"/>
  <c r="M21" i="3"/>
  <c r="N19" i="4"/>
  <c r="L5" i="1" s="1"/>
  <c r="L6" i="1" s="1"/>
  <c r="M20" i="4"/>
  <c r="M36" i="7"/>
  <c r="M37" i="7" s="1"/>
  <c r="M39" i="7" s="1"/>
  <c r="K31" i="8"/>
  <c r="K40" i="8" s="1"/>
  <c r="K14" i="8"/>
  <c r="K19" i="8" s="1"/>
  <c r="K25" i="8" s="1"/>
  <c r="J11" i="6" s="1"/>
  <c r="J40" i="8"/>
  <c r="I13" i="6"/>
  <c r="I36" i="6" s="1"/>
  <c r="M29" i="8"/>
  <c r="L34" i="6"/>
  <c r="N11" i="8"/>
  <c r="M29" i="6"/>
  <c r="K34" i="6"/>
  <c r="L29" i="8"/>
  <c r="L7" i="8" s="1"/>
  <c r="L9" i="8" s="1"/>
  <c r="L18" i="6"/>
  <c r="K21" i="6"/>
  <c r="N35" i="7"/>
  <c r="O11" i="8"/>
  <c r="N29" i="6"/>
  <c r="M36" i="2"/>
  <c r="M37" i="2" s="1"/>
  <c r="M39" i="2" s="1"/>
  <c r="N35" i="2"/>
  <c r="H37" i="3" l="1"/>
  <c r="P18" i="4"/>
  <c r="N10" i="2" s="1"/>
  <c r="J19" i="1"/>
  <c r="I22" i="1"/>
  <c r="K16" i="2"/>
  <c r="K30" i="1" s="1"/>
  <c r="M5" i="3"/>
  <c r="L15" i="2"/>
  <c r="I31" i="3"/>
  <c r="I37" i="3" s="1"/>
  <c r="I14" i="3"/>
  <c r="I19" i="3" s="1"/>
  <c r="I25" i="3" s="1"/>
  <c r="H12" i="1" s="1"/>
  <c r="H14" i="1" s="1"/>
  <c r="H37" i="1" s="1"/>
  <c r="J16" i="2"/>
  <c r="J18" i="2" s="1"/>
  <c r="J20" i="1" s="1"/>
  <c r="N6" i="3"/>
  <c r="M12" i="2"/>
  <c r="O19" i="4"/>
  <c r="M5" i="1" s="1"/>
  <c r="M6" i="1" s="1"/>
  <c r="O21" i="3"/>
  <c r="N21" i="3"/>
  <c r="N20" i="4"/>
  <c r="J14" i="3"/>
  <c r="J19" i="3" s="1"/>
  <c r="J25" i="3" s="1"/>
  <c r="J31" i="3"/>
  <c r="N36" i="7"/>
  <c r="M18" i="6"/>
  <c r="L21" i="6"/>
  <c r="J13" i="6"/>
  <c r="J36" i="6" s="1"/>
  <c r="L31" i="8"/>
  <c r="L40" i="8" s="1"/>
  <c r="L14" i="8"/>
  <c r="L19" i="8" s="1"/>
  <c r="L25" i="8" s="1"/>
  <c r="K11" i="6" s="1"/>
  <c r="N34" i="6"/>
  <c r="O29" i="8"/>
  <c r="N29" i="8"/>
  <c r="N7" i="8" s="1"/>
  <c r="N9" i="8" s="1"/>
  <c r="M34" i="6"/>
  <c r="N37" i="7"/>
  <c r="N39" i="7" s="1"/>
  <c r="M7" i="8"/>
  <c r="M9" i="8" s="1"/>
  <c r="N36" i="2"/>
  <c r="N37" i="2" s="1"/>
  <c r="N39" i="2" s="1"/>
  <c r="J37" i="3" l="1"/>
  <c r="O6" i="3"/>
  <c r="N12" i="2"/>
  <c r="O5" i="3" s="1"/>
  <c r="K18" i="2"/>
  <c r="K20" i="1" s="1"/>
  <c r="I12" i="1"/>
  <c r="I14" i="1" s="1"/>
  <c r="I37" i="1" s="1"/>
  <c r="N5" i="3"/>
  <c r="M15" i="2"/>
  <c r="L29" i="3"/>
  <c r="K35" i="1"/>
  <c r="L11" i="3"/>
  <c r="J30" i="1"/>
  <c r="K11" i="3"/>
  <c r="L16" i="2"/>
  <c r="L18" i="2" s="1"/>
  <c r="L20" i="1" s="1"/>
  <c r="K19" i="1"/>
  <c r="J22" i="1"/>
  <c r="P19" i="4"/>
  <c r="N5" i="1" s="1"/>
  <c r="N6" i="1" s="1"/>
  <c r="O20" i="4"/>
  <c r="M31" i="8"/>
  <c r="M40" i="8" s="1"/>
  <c r="M14" i="8"/>
  <c r="M19" i="8" s="1"/>
  <c r="M25" i="8" s="1"/>
  <c r="L11" i="6" s="1"/>
  <c r="N31" i="8"/>
  <c r="N40" i="8" s="1"/>
  <c r="N14" i="8"/>
  <c r="N19" i="8" s="1"/>
  <c r="N25" i="8" s="1"/>
  <c r="N18" i="6"/>
  <c r="N21" i="6" s="1"/>
  <c r="M21" i="6"/>
  <c r="K13" i="6"/>
  <c r="K36" i="6" s="1"/>
  <c r="O7" i="8"/>
  <c r="O9" i="8" s="1"/>
  <c r="N15" i="2" l="1"/>
  <c r="N16" i="2" s="1"/>
  <c r="K29" i="3"/>
  <c r="J35" i="1"/>
  <c r="L19" i="1"/>
  <c r="K22" i="1"/>
  <c r="L30" i="1"/>
  <c r="M11" i="3"/>
  <c r="M16" i="2"/>
  <c r="M18" i="2" s="1"/>
  <c r="M20" i="1" s="1"/>
  <c r="P20" i="4"/>
  <c r="M11" i="6"/>
  <c r="L13" i="6"/>
  <c r="L36" i="6" s="1"/>
  <c r="O31" i="8"/>
  <c r="O14" i="8"/>
  <c r="O19" i="8" s="1"/>
  <c r="O25" i="8" s="1"/>
  <c r="M19" i="1" l="1"/>
  <c r="L22" i="1"/>
  <c r="L7" i="3"/>
  <c r="L9" i="3" s="1"/>
  <c r="K7" i="3"/>
  <c r="K9" i="3" s="1"/>
  <c r="L35" i="1"/>
  <c r="M29" i="3"/>
  <c r="M7" i="3" s="1"/>
  <c r="M9" i="3" s="1"/>
  <c r="N30" i="1"/>
  <c r="O11" i="3"/>
  <c r="M30" i="1"/>
  <c r="N11" i="3"/>
  <c r="N18" i="2"/>
  <c r="N20" i="1" s="1"/>
  <c r="O40" i="8"/>
  <c r="C41" i="8" s="1"/>
  <c r="C42" i="8"/>
  <c r="N11" i="6"/>
  <c r="N13" i="6" s="1"/>
  <c r="N36" i="6" s="1"/>
  <c r="M13" i="6"/>
  <c r="M36" i="6" s="1"/>
  <c r="N35" i="1" l="1"/>
  <c r="O29" i="3"/>
  <c r="M31" i="3"/>
  <c r="M14" i="3"/>
  <c r="M19" i="3" s="1"/>
  <c r="M25" i="3" s="1"/>
  <c r="K31" i="3"/>
  <c r="K14" i="3"/>
  <c r="K19" i="3" s="1"/>
  <c r="K25" i="3" s="1"/>
  <c r="J12" i="1" s="1"/>
  <c r="L14" i="3"/>
  <c r="L19" i="3" s="1"/>
  <c r="L25" i="3" s="1"/>
  <c r="L31" i="3"/>
  <c r="N29" i="3"/>
  <c r="N7" i="3" s="1"/>
  <c r="N9" i="3" s="1"/>
  <c r="M35" i="1"/>
  <c r="N19" i="1"/>
  <c r="N22" i="1" s="1"/>
  <c r="M22" i="1"/>
  <c r="L37" i="3" l="1"/>
  <c r="K37" i="3"/>
  <c r="M37" i="3"/>
  <c r="O7" i="3"/>
  <c r="O9" i="3" s="1"/>
  <c r="K12" i="1"/>
  <c r="J14" i="1"/>
  <c r="J37" i="1" s="1"/>
  <c r="N14" i="3"/>
  <c r="N19" i="3" s="1"/>
  <c r="N25" i="3" s="1"/>
  <c r="N31" i="3"/>
  <c r="N37" i="3" s="1"/>
  <c r="L12" i="1" l="1"/>
  <c r="K14" i="1"/>
  <c r="K37" i="1" s="1"/>
  <c r="O14" i="3"/>
  <c r="O19" i="3" s="1"/>
  <c r="O25" i="3" s="1"/>
  <c r="O31" i="3"/>
  <c r="O37" i="3" l="1"/>
  <c r="C45" i="3"/>
  <c r="C46" i="3" s="1"/>
  <c r="L14" i="1"/>
  <c r="L37" i="1" s="1"/>
  <c r="M12" i="1"/>
  <c r="C48" i="3" l="1"/>
  <c r="C55" i="3" s="1"/>
  <c r="M14" i="1"/>
  <c r="M37" i="1" s="1"/>
  <c r="N12" i="1"/>
  <c r="N14" i="1" s="1"/>
  <c r="N37" i="1" s="1"/>
</calcChain>
</file>

<file path=xl/sharedStrings.xml><?xml version="1.0" encoding="utf-8"?>
<sst xmlns="http://schemas.openxmlformats.org/spreadsheetml/2006/main" count="297" uniqueCount="150">
  <si>
    <t>Balance</t>
  </si>
  <si>
    <t>Assets</t>
  </si>
  <si>
    <t>Intangible Assets</t>
  </si>
  <si>
    <t>Depreciations</t>
  </si>
  <si>
    <t>Net Intangible Assets</t>
  </si>
  <si>
    <t>Customers</t>
  </si>
  <si>
    <t>Government and Other Public Authorities</t>
  </si>
  <si>
    <t>Related Parties Receivables</t>
  </si>
  <si>
    <t>Other Assets</t>
  </si>
  <si>
    <t>Cash and Cash Equivalents</t>
  </si>
  <si>
    <t>Total Assets</t>
  </si>
  <si>
    <t>Equity</t>
  </si>
  <si>
    <t>Stockholders' Equity</t>
  </si>
  <si>
    <t>Additional Paid-in-Capital</t>
  </si>
  <si>
    <t>Retained Earnings</t>
  </si>
  <si>
    <t>Earnings Current Period</t>
  </si>
  <si>
    <t>Total Equity</t>
  </si>
  <si>
    <t>Liabilities</t>
  </si>
  <si>
    <t>Non-Current</t>
  </si>
  <si>
    <t>Advance from Shareholders</t>
  </si>
  <si>
    <t>Current</t>
  </si>
  <si>
    <t>Accounts Payable</t>
  </si>
  <si>
    <t>Current Tax Liabilities</t>
  </si>
  <si>
    <t>Accrued Expenses</t>
  </si>
  <si>
    <t>Deffered Revenue</t>
  </si>
  <si>
    <t>Customer Deposits</t>
  </si>
  <si>
    <t>Total Liability</t>
  </si>
  <si>
    <t>controlo</t>
  </si>
  <si>
    <t>Income Statement</t>
  </si>
  <si>
    <t>Sales</t>
  </si>
  <si>
    <t>Cost of Sales</t>
  </si>
  <si>
    <t>Operating Expenses</t>
  </si>
  <si>
    <t>Other Losses</t>
  </si>
  <si>
    <t>Operating Profit</t>
  </si>
  <si>
    <t>EBIT</t>
  </si>
  <si>
    <t>Interest Expense</t>
  </si>
  <si>
    <t>Profit Before Income Tax</t>
  </si>
  <si>
    <t>Income Tax</t>
  </si>
  <si>
    <t>Profit for the Period</t>
  </si>
  <si>
    <t>Inflation</t>
  </si>
  <si>
    <t>Investimento Total</t>
  </si>
  <si>
    <t>N.º Anos</t>
  </si>
  <si>
    <t>Amortização Anual</t>
  </si>
  <si>
    <t>Capitais Próprios</t>
  </si>
  <si>
    <t>Valor do financiamento</t>
  </si>
  <si>
    <t>Taxa Juro</t>
  </si>
  <si>
    <t>Prestações</t>
  </si>
  <si>
    <t>Valor da Prestação</t>
  </si>
  <si>
    <t>Prestação Anual</t>
  </si>
  <si>
    <t>Juro</t>
  </si>
  <si>
    <t>Amortização Capital</t>
  </si>
  <si>
    <t>Capital em dívida</t>
  </si>
  <si>
    <t>Taxa imposto</t>
  </si>
  <si>
    <t>Valor do Subsídio ao Investimento</t>
  </si>
  <si>
    <t xml:space="preserve">Potencial de Fundo Perdido </t>
  </si>
  <si>
    <t>No fundo significaria que a partir do quarto ano não haveria reembolso</t>
  </si>
  <si>
    <t>c/ 2 anos carência</t>
  </si>
  <si>
    <t>Mapa do Cash-Flow</t>
  </si>
  <si>
    <t>Changes in Working Capital</t>
  </si>
  <si>
    <t>Operational Cash-Flow</t>
  </si>
  <si>
    <t>Financing Cost</t>
  </si>
  <si>
    <t>Financing Activities</t>
  </si>
  <si>
    <t>Repayment of Long-term Borrowings</t>
  </si>
  <si>
    <t>Change in Equity</t>
  </si>
  <si>
    <t>Total Cash-Flow</t>
  </si>
  <si>
    <t>CAPEX</t>
  </si>
  <si>
    <t>CAPEX Financial Investments</t>
  </si>
  <si>
    <t>Dividends</t>
  </si>
  <si>
    <t>Change in Cash and Cash Equivalents</t>
  </si>
  <si>
    <t>Working Capital</t>
  </si>
  <si>
    <t>Free Cash Flow</t>
  </si>
  <si>
    <t>WACC</t>
  </si>
  <si>
    <t>Ano</t>
  </si>
  <si>
    <t>Factor</t>
  </si>
  <si>
    <t>Current Cash Flow</t>
  </si>
  <si>
    <t>VAL</t>
  </si>
  <si>
    <t>TIR</t>
  </si>
  <si>
    <t>Cost of Equity (Ke)</t>
  </si>
  <si>
    <t xml:space="preserve">US Bond 10y YTM (Rf) </t>
  </si>
  <si>
    <t>Market Yield (Rm)</t>
  </si>
  <si>
    <t xml:space="preserve">Total Equity Risk Premium US (Rm- Rf) </t>
  </si>
  <si>
    <t xml:space="preserve">Beta Sotware (Entertainment US) (Bu) </t>
  </si>
  <si>
    <r>
      <t>Leveraged Beta (Bl)</t>
    </r>
    <r>
      <rPr>
        <i/>
        <sz val="9"/>
        <color theme="0" tint="-0.34998626667073579"/>
        <rFont val="Georgia"/>
        <family val="1"/>
      </rPr>
      <t xml:space="preserve"> Bl = Bu*(1+D/E*(1-t))</t>
    </r>
  </si>
  <si>
    <t>Ke = Rf + B(Rm- Rf)</t>
  </si>
  <si>
    <t>Cost of Debt (Kd)</t>
  </si>
  <si>
    <t>Libor 6 months</t>
  </si>
  <si>
    <t>Spread</t>
  </si>
  <si>
    <t>Kd = Rf + Spread</t>
  </si>
  <si>
    <t>Weighted Average Cost of Capital (WACC)</t>
  </si>
  <si>
    <t>Equity (Eq)</t>
  </si>
  <si>
    <t>Debt Value (D)</t>
  </si>
  <si>
    <t>Federal Income Tax Rate</t>
  </si>
  <si>
    <t>Weighted Average Cost of Equity</t>
  </si>
  <si>
    <t>Weighted Average Cost of Debt</t>
  </si>
  <si>
    <t>fonte: Damodaran http://pages.stern.nyu.edu/~adamodar/</t>
  </si>
  <si>
    <t>Multiple Analysis</t>
  </si>
  <si>
    <t>EV/EBITDA</t>
  </si>
  <si>
    <t>EV/EBIT</t>
  </si>
  <si>
    <t>Yearly CAPEX</t>
  </si>
  <si>
    <t>Total CAPEX</t>
  </si>
  <si>
    <t>Investment</t>
  </si>
  <si>
    <t>Depreciation References</t>
  </si>
  <si>
    <t>Year 3</t>
  </si>
  <si>
    <t>Year 4</t>
  </si>
  <si>
    <t>Year 5</t>
  </si>
  <si>
    <t>Year 6</t>
  </si>
  <si>
    <t>Year 7</t>
  </si>
  <si>
    <t>Yearly Depreciation</t>
  </si>
  <si>
    <t>Accumulated Ddepreciation</t>
  </si>
  <si>
    <t xml:space="preserve">Net Assets </t>
  </si>
  <si>
    <t xml:space="preserve">Company </t>
  </si>
  <si>
    <t>Samba Digital</t>
  </si>
  <si>
    <t>Fiscal and Macroeconomic Assumptions</t>
  </si>
  <si>
    <t>Inflation Rate</t>
  </si>
  <si>
    <t>Tax Rate</t>
  </si>
  <si>
    <t>Number of days</t>
  </si>
  <si>
    <t>Operational Cycle</t>
  </si>
  <si>
    <t>Sales Growth Rate</t>
  </si>
  <si>
    <t>Churn Rate</t>
  </si>
  <si>
    <t>COGS</t>
  </si>
  <si>
    <t>Operational Expenses</t>
  </si>
  <si>
    <t>Operating Expenses Rate</t>
  </si>
  <si>
    <t>Average Receivables Ratio (days)</t>
  </si>
  <si>
    <t>Average Payable Ratio (days)</t>
  </si>
  <si>
    <t>Investment Cycle</t>
  </si>
  <si>
    <t>Depreciation rate</t>
  </si>
  <si>
    <t>Financing Cycle</t>
  </si>
  <si>
    <t>Capital Increase</t>
  </si>
  <si>
    <t xml:space="preserve">Debt Reimbursement </t>
  </si>
  <si>
    <t>New Loans</t>
  </si>
  <si>
    <t>Payout ratio (% dividends distribution)</t>
  </si>
  <si>
    <t>Others</t>
  </si>
  <si>
    <t>Perpetual Growth Rate</t>
  </si>
  <si>
    <t>Exchange Rate (USD to Euro)</t>
  </si>
  <si>
    <t>Goodwill</t>
  </si>
  <si>
    <t>Other Income</t>
  </si>
  <si>
    <t>Interest Income</t>
  </si>
  <si>
    <t>Dados a 02.04.2024</t>
  </si>
  <si>
    <t xml:space="preserve">PRT 10y (Rf) </t>
  </si>
  <si>
    <t xml:space="preserve">Beta Sotware (Advertising US) (Samodaran) </t>
  </si>
  <si>
    <t>Discounted Cash Flow</t>
  </si>
  <si>
    <t>Terminal Value</t>
  </si>
  <si>
    <t>Growth rate</t>
  </si>
  <si>
    <t>TV FCF</t>
  </si>
  <si>
    <t>Entreprise Value</t>
  </si>
  <si>
    <t>Net Debt</t>
  </si>
  <si>
    <t>Bridge</t>
  </si>
  <si>
    <t>Debt &amp; Eq</t>
  </si>
  <si>
    <t>Cash &amp; Eq</t>
  </si>
  <si>
    <t>Equity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</si>
</sst>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%"/>
    <numFmt numFmtId="165" formatCode="_-[$$-409]* #,##0.00_ ;_-[$$-409]* \-#,##0.00\ ;_-[$$-409]* &quot;-&quot;??_ ;_-@_ "/>
    <numFmt numFmtId="166" formatCode="_-* #,##0.00\ _€_-;\-* #,##0.00\ _€_-;_-* &quot;-&quot;??\ _€_-;_-@_-"/>
    <numFmt numFmtId="167" formatCode="#,##0_ ;\-#,##0\ "/>
  </numFmts>
  <fonts count="2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Georgia"/>
      <family val="1"/>
    </font>
    <font>
      <b/>
      <sz val="10"/>
      <color theme="4"/>
      <name val="Georgia"/>
      <family val="1"/>
    </font>
    <font>
      <b/>
      <sz val="9"/>
      <color theme="1"/>
      <name val="Georgia"/>
      <family val="1"/>
    </font>
    <font>
      <sz val="9"/>
      <color theme="1"/>
      <name val="Georgia"/>
      <family val="1"/>
    </font>
    <font>
      <i/>
      <sz val="8"/>
      <color rgb="FFFF0000"/>
      <name val="Georgia"/>
      <family val="1"/>
    </font>
    <font>
      <b/>
      <sz val="10"/>
      <color theme="0"/>
      <name val="Georgia"/>
      <family val="1"/>
    </font>
    <font>
      <b/>
      <sz val="10"/>
      <color theme="1"/>
      <name val="Georgia"/>
      <family val="1"/>
    </font>
    <font>
      <sz val="10"/>
      <color theme="4"/>
      <name val="Georgia"/>
      <family val="1"/>
    </font>
    <font>
      <sz val="10"/>
      <color theme="1" tint="0.24994659260841701"/>
      <name val="Calibri"/>
      <family val="2"/>
      <scheme val="minor"/>
    </font>
    <font>
      <b/>
      <sz val="10"/>
      <color rgb="FF000000"/>
      <name val="Georgia"/>
      <family val="1"/>
    </font>
    <font>
      <sz val="10"/>
      <color theme="1" tint="0.24994659260841701"/>
      <name val="Georgia"/>
      <family val="1"/>
    </font>
    <font>
      <sz val="9"/>
      <color rgb="FF000000"/>
      <name val="Georgia"/>
      <family val="1"/>
    </font>
    <font>
      <i/>
      <sz val="9"/>
      <color theme="0" tint="-0.34998626667073579"/>
      <name val="Georgia"/>
      <family val="1"/>
    </font>
    <font>
      <sz val="10"/>
      <color rgb="FF000000"/>
      <name val="Georgia"/>
      <family val="1"/>
    </font>
    <font>
      <sz val="10"/>
      <color theme="1" tint="0.24994659260841701"/>
      <name val="Times New Roman"/>
      <family val="1"/>
    </font>
    <font>
      <sz val="9"/>
      <color theme="1" tint="0.24994659260841701"/>
      <name val="Georgia"/>
      <family val="1"/>
    </font>
    <font>
      <sz val="10"/>
      <color theme="0"/>
      <name val="Georgia"/>
      <family val="1"/>
    </font>
    <font>
      <sz val="11"/>
      <color theme="0"/>
      <name val="Georgia"/>
      <family val="1"/>
    </font>
    <font>
      <sz val="11"/>
      <color theme="1"/>
      <name val="Georgia"/>
      <family val="1"/>
    </font>
    <font>
      <b/>
      <sz val="11"/>
      <color theme="8" tint="-0.249977111117893"/>
      <name val="Calibri"/>
      <family val="2"/>
      <scheme val="minor"/>
    </font>
    <font>
      <b/>
      <sz val="9"/>
      <color theme="8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>
        <fgColor theme="0" tint="-0.34998626667073579"/>
        <bgColor indexed="65"/>
      </patternFill>
    </fill>
    <fill>
      <patternFill patternType="solid">
        <fgColor indexed="65"/>
        <bgColor auto="1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ck">
        <color theme="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2" fillId="0" borderId="0"/>
    <xf numFmtId="166" fontId="1" fillId="0" borderId="0" applyFont="0" applyFill="0" applyBorder="0" applyAlignment="0" applyProtection="0"/>
  </cellStyleXfs>
  <cellXfs count="96">
    <xf numFmtId="0" fontId="0" fillId="0" borderId="0" xfId="0"/>
    <xf numFmtId="0" fontId="4" fillId="0" borderId="0" xfId="0" applyFont="1"/>
    <xf numFmtId="0" fontId="5" fillId="0" borderId="1" xfId="0" applyFont="1" applyBorder="1"/>
    <xf numFmtId="0" fontId="6" fillId="0" borderId="0" xfId="0" applyFont="1"/>
    <xf numFmtId="0" fontId="7" fillId="0" borderId="0" xfId="0" applyFont="1"/>
    <xf numFmtId="3" fontId="7" fillId="0" borderId="0" xfId="0" applyNumberFormat="1" applyFont="1"/>
    <xf numFmtId="0" fontId="7" fillId="0" borderId="0" xfId="0" applyFont="1" applyAlignment="1">
      <alignment horizontal="left" indent="1"/>
    </xf>
    <xf numFmtId="3" fontId="4" fillId="0" borderId="0" xfId="0" applyNumberFormat="1" applyFont="1"/>
    <xf numFmtId="0" fontId="5" fillId="0" borderId="2" xfId="0" applyFont="1" applyBorder="1"/>
    <xf numFmtId="3" fontId="5" fillId="0" borderId="2" xfId="0" applyNumberFormat="1" applyFont="1" applyBorder="1"/>
    <xf numFmtId="0" fontId="7" fillId="0" borderId="0" xfId="0" applyFont="1" applyAlignment="1">
      <alignment horizontal="left" indent="2"/>
    </xf>
    <xf numFmtId="0" fontId="8" fillId="0" borderId="0" xfId="0" applyFont="1"/>
    <xf numFmtId="3" fontId="8" fillId="0" borderId="0" xfId="0" applyNumberFormat="1" applyFont="1"/>
    <xf numFmtId="9" fontId="4" fillId="0" borderId="0" xfId="1" applyFont="1"/>
    <xf numFmtId="0" fontId="4" fillId="0" borderId="0" xfId="1" applyNumberFormat="1" applyFont="1"/>
    <xf numFmtId="0" fontId="3" fillId="0" borderId="0" xfId="0" applyFont="1" applyAlignment="1">
      <alignment vertical="center"/>
    </xf>
    <xf numFmtId="4" fontId="7" fillId="0" borderId="0" xfId="0" applyNumberFormat="1" applyFont="1"/>
    <xf numFmtId="0" fontId="5" fillId="0" borderId="0" xfId="0" applyFont="1"/>
    <xf numFmtId="3" fontId="5" fillId="0" borderId="0" xfId="0" applyNumberFormat="1" applyFont="1"/>
    <xf numFmtId="9" fontId="4" fillId="0" borderId="0" xfId="0" applyNumberFormat="1" applyFont="1"/>
    <xf numFmtId="0" fontId="9" fillId="4" borderId="0" xfId="0" applyFont="1" applyFill="1"/>
    <xf numFmtId="3" fontId="9" fillId="4" borderId="0" xfId="0" applyNumberFormat="1" applyFont="1" applyFill="1"/>
    <xf numFmtId="10" fontId="4" fillId="0" borderId="0" xfId="0" applyNumberFormat="1" applyFont="1"/>
    <xf numFmtId="0" fontId="10" fillId="0" borderId="0" xfId="0" applyFont="1"/>
    <xf numFmtId="9" fontId="10" fillId="0" borderId="0" xfId="0" applyNumberFormat="1" applyFont="1"/>
    <xf numFmtId="3" fontId="10" fillId="0" borderId="0" xfId="0" applyNumberFormat="1" applyFont="1"/>
    <xf numFmtId="0" fontId="11" fillId="0" borderId="0" xfId="0" applyFont="1"/>
    <xf numFmtId="10" fontId="11" fillId="0" borderId="0" xfId="0" applyNumberFormat="1" applyFont="1"/>
    <xf numFmtId="2" fontId="7" fillId="0" borderId="0" xfId="0" applyNumberFormat="1" applyFont="1"/>
    <xf numFmtId="164" fontId="9" fillId="4" borderId="0" xfId="0" applyNumberFormat="1" applyFont="1" applyFill="1"/>
    <xf numFmtId="0" fontId="13" fillId="5" borderId="3" xfId="4" applyFont="1" applyFill="1" applyBorder="1" applyAlignment="1">
      <alignment vertical="center"/>
    </xf>
    <xf numFmtId="0" fontId="14" fillId="5" borderId="4" xfId="4" applyFont="1" applyFill="1" applyBorder="1"/>
    <xf numFmtId="0" fontId="15" fillId="0" borderId="5" xfId="4" applyFont="1" applyBorder="1" applyAlignment="1">
      <alignment vertical="center"/>
    </xf>
    <xf numFmtId="10" fontId="15" fillId="0" borderId="6" xfId="4" applyNumberFormat="1" applyFont="1" applyBorder="1" applyAlignment="1">
      <alignment horizontal="right" vertical="center"/>
    </xf>
    <xf numFmtId="2" fontId="15" fillId="0" borderId="6" xfId="4" applyNumberFormat="1" applyFont="1" applyBorder="1" applyAlignment="1">
      <alignment horizontal="right" vertical="center"/>
    </xf>
    <xf numFmtId="0" fontId="17" fillId="6" borderId="3" xfId="4" applyFont="1" applyFill="1" applyBorder="1" applyAlignment="1">
      <alignment vertical="center"/>
    </xf>
    <xf numFmtId="10" fontId="13" fillId="6" borderId="7" xfId="4" applyNumberFormat="1" applyFont="1" applyFill="1" applyBorder="1" applyAlignment="1">
      <alignment horizontal="right" vertical="center"/>
    </xf>
    <xf numFmtId="0" fontId="18" fillId="0" borderId="3" xfId="4" applyFont="1" applyBorder="1"/>
    <xf numFmtId="0" fontId="18" fillId="0" borderId="4" xfId="4" applyFont="1" applyBorder="1"/>
    <xf numFmtId="0" fontId="13" fillId="5" borderId="8" xfId="4" applyFont="1" applyFill="1" applyBorder="1" applyAlignment="1">
      <alignment vertical="center"/>
    </xf>
    <xf numFmtId="0" fontId="14" fillId="5" borderId="9" xfId="4" applyFont="1" applyFill="1" applyBorder="1"/>
    <xf numFmtId="3" fontId="15" fillId="0" borderId="6" xfId="4" applyNumberFormat="1" applyFont="1" applyBorder="1" applyAlignment="1">
      <alignment horizontal="right" vertical="center"/>
    </xf>
    <xf numFmtId="0" fontId="19" fillId="0" borderId="5" xfId="4" applyFont="1" applyBorder="1"/>
    <xf numFmtId="0" fontId="19" fillId="0" borderId="6" xfId="4" applyFont="1" applyBorder="1"/>
    <xf numFmtId="0" fontId="15" fillId="0" borderId="8" xfId="4" applyFont="1" applyBorder="1" applyAlignment="1">
      <alignment vertical="center"/>
    </xf>
    <xf numFmtId="10" fontId="15" fillId="0" borderId="9" xfId="4" applyNumberFormat="1" applyFont="1" applyBorder="1" applyAlignment="1">
      <alignment horizontal="right" vertical="center"/>
    </xf>
    <xf numFmtId="0" fontId="13" fillId="6" borderId="8" xfId="4" applyFont="1" applyFill="1" applyBorder="1" applyAlignment="1">
      <alignment vertical="center"/>
    </xf>
    <xf numFmtId="0" fontId="20" fillId="2" borderId="0" xfId="2" applyFont="1"/>
    <xf numFmtId="2" fontId="7" fillId="3" borderId="0" xfId="3" applyNumberFormat="1" applyFont="1" applyBorder="1" applyAlignment="1">
      <alignment horizontal="center"/>
    </xf>
    <xf numFmtId="3" fontId="7" fillId="3" borderId="0" xfId="3" applyNumberFormat="1" applyFont="1"/>
    <xf numFmtId="165" fontId="7" fillId="3" borderId="0" xfId="3" applyNumberFormat="1" applyFont="1"/>
    <xf numFmtId="44" fontId="20" fillId="2" borderId="0" xfId="2" applyNumberFormat="1" applyFont="1"/>
    <xf numFmtId="0" fontId="21" fillId="2" borderId="0" xfId="2" applyFont="1"/>
    <xf numFmtId="44" fontId="7" fillId="3" borderId="0" xfId="3" applyNumberFormat="1" applyFont="1"/>
    <xf numFmtId="0" fontId="21" fillId="0" borderId="0" xfId="2" applyFont="1" applyFill="1"/>
    <xf numFmtId="2" fontId="22" fillId="3" borderId="0" xfId="3" applyNumberFormat="1" applyFont="1"/>
    <xf numFmtId="2" fontId="22" fillId="0" borderId="0" xfId="3" applyNumberFormat="1" applyFont="1" applyFill="1"/>
    <xf numFmtId="2" fontId="0" fillId="0" borderId="0" xfId="0" applyNumberFormat="1"/>
    <xf numFmtId="44" fontId="7" fillId="0" borderId="0" xfId="3" applyNumberFormat="1" applyFont="1" applyFill="1"/>
    <xf numFmtId="9" fontId="22" fillId="0" borderId="0" xfId="1" applyFont="1" applyFill="1"/>
    <xf numFmtId="9" fontId="0" fillId="0" borderId="0" xfId="1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164" fontId="25" fillId="7" borderId="0" xfId="0" applyNumberFormat="1" applyFont="1" applyFill="1"/>
    <xf numFmtId="164" fontId="25" fillId="8" borderId="0" xfId="1" applyNumberFormat="1" applyFont="1" applyFill="1"/>
    <xf numFmtId="164" fontId="25" fillId="7" borderId="0" xfId="1" applyNumberFormat="1" applyFont="1" applyFill="1"/>
    <xf numFmtId="0" fontId="25" fillId="7" borderId="0" xfId="0" applyFont="1" applyFill="1"/>
    <xf numFmtId="0" fontId="25" fillId="8" borderId="0" xfId="0" applyFont="1" applyFill="1"/>
    <xf numFmtId="164" fontId="25" fillId="8" borderId="0" xfId="0" applyNumberFormat="1" applyFont="1" applyFill="1"/>
    <xf numFmtId="3" fontId="25" fillId="8" borderId="0" xfId="0" applyNumberFormat="1" applyFont="1" applyFill="1"/>
    <xf numFmtId="0" fontId="25" fillId="7" borderId="0" xfId="1" applyNumberFormat="1" applyFont="1" applyFill="1"/>
    <xf numFmtId="167" fontId="25" fillId="8" borderId="0" xfId="5" applyNumberFormat="1" applyFont="1" applyFill="1"/>
    <xf numFmtId="4" fontId="25" fillId="7" borderId="0" xfId="0" applyNumberFormat="1" applyFont="1" applyFill="1"/>
    <xf numFmtId="4" fontId="25" fillId="8" borderId="0" xfId="0" applyNumberFormat="1" applyFont="1" applyFill="1"/>
    <xf numFmtId="3" fontId="7" fillId="0" borderId="0" xfId="0" quotePrefix="1" applyNumberFormat="1" applyFont="1"/>
    <xf numFmtId="1" fontId="25" fillId="7" borderId="0" xfId="1" applyNumberFormat="1" applyFont="1" applyFill="1"/>
    <xf numFmtId="3" fontId="7" fillId="0" borderId="0" xfId="1" applyNumberFormat="1" applyFont="1"/>
    <xf numFmtId="3" fontId="7" fillId="9" borderId="0" xfId="0" applyNumberFormat="1" applyFont="1" applyFill="1"/>
    <xf numFmtId="3" fontId="5" fillId="9" borderId="2" xfId="0" applyNumberFormat="1" applyFont="1" applyFill="1" applyBorder="1"/>
    <xf numFmtId="3" fontId="10" fillId="9" borderId="0" xfId="0" applyNumberFormat="1" applyFont="1" applyFill="1"/>
    <xf numFmtId="3" fontId="4" fillId="9" borderId="0" xfId="0" applyNumberFormat="1" applyFont="1" applyFill="1"/>
    <xf numFmtId="0" fontId="4" fillId="9" borderId="0" xfId="0" applyFont="1" applyFill="1"/>
    <xf numFmtId="0" fontId="9" fillId="0" borderId="0" xfId="0" applyFont="1"/>
    <xf numFmtId="3" fontId="9" fillId="0" borderId="0" xfId="0" applyNumberFormat="1" applyFont="1"/>
    <xf numFmtId="10" fontId="5" fillId="0" borderId="0" xfId="0" applyNumberFormat="1" applyFont="1"/>
    <xf numFmtId="3" fontId="7" fillId="10" borderId="0" xfId="0" applyNumberFormat="1" applyFont="1" applyFill="1"/>
    <xf numFmtId="3" fontId="5" fillId="10" borderId="2" xfId="0" applyNumberFormat="1" applyFont="1" applyFill="1" applyBorder="1"/>
    <xf numFmtId="3" fontId="10" fillId="10" borderId="0" xfId="0" applyNumberFormat="1" applyFont="1" applyFill="1"/>
    <xf numFmtId="3" fontId="4" fillId="10" borderId="0" xfId="0" applyNumberFormat="1" applyFont="1" applyFill="1"/>
    <xf numFmtId="0" fontId="4" fillId="10" borderId="0" xfId="0" applyFont="1" applyFill="1"/>
    <xf numFmtId="0" fontId="20" fillId="0" borderId="0" xfId="2" applyFont="1" applyFill="1"/>
    <xf numFmtId="2" fontId="7" fillId="0" borderId="0" xfId="3" applyNumberFormat="1" applyFont="1" applyFill="1" applyBorder="1" applyAlignment="1">
      <alignment horizontal="center"/>
    </xf>
    <xf numFmtId="3" fontId="7" fillId="0" borderId="0" xfId="3" applyNumberFormat="1" applyFont="1" applyFill="1"/>
    <xf numFmtId="165" fontId="7" fillId="0" borderId="0" xfId="3" applyNumberFormat="1" applyFont="1" applyFill="1"/>
  </cellXfs>
  <cellStyles count="6">
    <cellStyle name="20 % - Accent1" xfId="3" builtinId="30"/>
    <cellStyle name="Accent1" xfId="2" builtinId="29"/>
    <cellStyle name="Normal" xfId="0" builtinId="0"/>
    <cellStyle name="Normal 9" xfId="4" xr:uid="{1141ECA5-13A1-4779-A7C2-45749E1A8821}"/>
    <cellStyle name="Pourcentage" xfId="1" builtinId="5"/>
    <cellStyle name="Vírgula 2" xfId="5" xr:uid="{12E7B652-0F6B-4B4B-86B5-073476347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525780</xdr:colOff>
      <xdr:row>3</xdr:row>
      <xdr:rowOff>152400</xdr:rowOff>
    </xdr:from>
    <xdr:to>
      <xdr:col>11</xdr:col>
      <xdr:colOff>373948</xdr:colOff>
      <xdr:row>19</xdr:row>
      <xdr:rowOff>7882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E56E496-086F-51FB-E121-91B4C6094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6340" y="746760"/>
          <a:ext cx="6553768" cy="30254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0\CCerqueira\192.168.2.10\192.168.2.10\192.168.2.10\192.168.2.10\Users\Joao%20Fernandes\Documents\Samba\C&#243;pia%20de%20Projecto%20Rosa%20Mota_Capitais%20P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supostos"/>
      <sheetName val="Receitas"/>
      <sheetName val="Custos"/>
      <sheetName val="Demonstração de Resultados"/>
      <sheetName val="Balanço"/>
      <sheetName val="Cash-Flow"/>
      <sheetName val="Mapa Investimentos"/>
    </sheetNames>
    <sheetDataSet>
      <sheetData sheetId="0"/>
      <sheetData sheetId="1"/>
      <sheetData sheetId="2"/>
      <sheetData sheetId="3">
        <row r="10">
          <cell r="C10">
            <v>0</v>
          </cell>
        </row>
        <row r="39">
          <cell r="Q39"/>
          <cell r="R39"/>
        </row>
      </sheetData>
      <sheetData sheetId="4">
        <row r="8">
          <cell r="C8">
            <v>90442</v>
          </cell>
        </row>
      </sheetData>
      <sheetData sheetId="5"/>
      <sheetData sheetId="6">
        <row r="52">
          <cell r="C52">
            <v>9857800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E700E-EED0-4DDB-BEDA-46D4713AA3AC}">
  <dimension ref="B1:V47"/>
  <sheetViews>
    <sheetView showGridLines="0" topLeftCell="B1" zoomScaleNormal="80" workbookViewId="0">
      <selection activeCell="F33" sqref="F33"/>
    </sheetView>
  </sheetViews>
  <sheetFormatPr baseColWidth="10" defaultColWidth="10.58203125" defaultRowHeight="13" x14ac:dyDescent="0.3"/>
  <cols>
    <col min="1" max="1" width="1" style="1" customWidth="1"/>
    <col min="2" max="2" width="26.5" style="1" bestFit="1" customWidth="1"/>
    <col min="3" max="3" width="10.83203125" style="7" bestFit="1" customWidth="1"/>
    <col min="4" max="4" width="11.08203125" style="7" bestFit="1" customWidth="1"/>
    <col min="5" max="6" width="10.58203125" style="7" bestFit="1" customWidth="1"/>
    <col min="7" max="9" width="11" style="7" bestFit="1" customWidth="1"/>
    <col min="10" max="10" width="10.83203125" style="7" bestFit="1" customWidth="1"/>
    <col min="11" max="11" width="11.5" style="7" bestFit="1" customWidth="1"/>
    <col min="12" max="12" width="10.58203125" style="7" bestFit="1" customWidth="1"/>
    <col min="13" max="13" width="11.83203125" style="7" bestFit="1" customWidth="1"/>
    <col min="14" max="14" width="12" style="7" bestFit="1" customWidth="1"/>
    <col min="15" max="15" width="10.58203125" style="7" bestFit="1" customWidth="1"/>
    <col min="16" max="17" width="10.08203125" style="7" bestFit="1" customWidth="1"/>
    <col min="18" max="19" width="10.58203125" style="7" bestFit="1" customWidth="1"/>
    <col min="20" max="22" width="10.5" style="7" bestFit="1" customWidth="1"/>
    <col min="23" max="16384" width="10.58203125" style="1"/>
  </cols>
  <sheetData>
    <row r="1" spans="2:22" x14ac:dyDescent="0.3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2:22" x14ac:dyDescent="0.3">
      <c r="B2" s="2" t="s">
        <v>0</v>
      </c>
      <c r="C2" s="2">
        <v>2023</v>
      </c>
      <c r="D2" s="2">
        <f>C2+1</f>
        <v>2024</v>
      </c>
      <c r="E2" s="2">
        <f t="shared" ref="E2:V2" si="0">D2+1</f>
        <v>2025</v>
      </c>
      <c r="F2" s="2">
        <f t="shared" si="0"/>
        <v>2026</v>
      </c>
      <c r="G2" s="2">
        <f t="shared" si="0"/>
        <v>2027</v>
      </c>
      <c r="H2" s="2">
        <f t="shared" si="0"/>
        <v>2028</v>
      </c>
      <c r="I2" s="2">
        <f t="shared" si="0"/>
        <v>2029</v>
      </c>
      <c r="J2" s="2">
        <f t="shared" si="0"/>
        <v>2030</v>
      </c>
      <c r="K2" s="2">
        <f t="shared" si="0"/>
        <v>2031</v>
      </c>
      <c r="L2" s="2">
        <f t="shared" si="0"/>
        <v>2032</v>
      </c>
      <c r="M2" s="2">
        <f t="shared" si="0"/>
        <v>2033</v>
      </c>
      <c r="N2" s="2">
        <f t="shared" si="0"/>
        <v>2034</v>
      </c>
      <c r="O2" s="2">
        <f t="shared" si="0"/>
        <v>2035</v>
      </c>
      <c r="P2" s="2">
        <f t="shared" si="0"/>
        <v>2036</v>
      </c>
      <c r="Q2" s="2">
        <f t="shared" si="0"/>
        <v>2037</v>
      </c>
      <c r="R2" s="2">
        <f t="shared" si="0"/>
        <v>2038</v>
      </c>
      <c r="S2" s="2">
        <f t="shared" si="0"/>
        <v>2039</v>
      </c>
      <c r="T2" s="2">
        <f t="shared" si="0"/>
        <v>2040</v>
      </c>
      <c r="U2" s="2">
        <f t="shared" si="0"/>
        <v>2041</v>
      </c>
      <c r="V2" s="2">
        <f t="shared" si="0"/>
        <v>2042</v>
      </c>
    </row>
    <row r="3" spans="2:22" x14ac:dyDescent="0.3"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2:22" x14ac:dyDescent="0.3">
      <c r="B4" s="4" t="s">
        <v>2</v>
      </c>
      <c r="C4" s="5">
        <v>1428310.17</v>
      </c>
      <c r="D4" s="5">
        <f>'Intangibles and Deprec. (C&amp;C)'!F5</f>
        <v>1705750.2685</v>
      </c>
      <c r="E4" s="5">
        <f>'Intangibles and Deprec. (C&amp;C)'!G5</f>
        <v>2191270.4408749999</v>
      </c>
      <c r="F4" s="5">
        <f>'Intangibles and Deprec. (C&amp;C)'!H5</f>
        <v>2822446.6649624999</v>
      </c>
      <c r="G4" s="5">
        <f>'Intangibles and Deprec. (C&amp;C)'!I5</f>
        <v>3642975.7562762499</v>
      </c>
      <c r="H4" s="5">
        <f>'Intangibles and Deprec. (C&amp;C)'!J5</f>
        <v>4709663.5749841249</v>
      </c>
      <c r="I4" s="5">
        <f>'Intangibles and Deprec. (C&amp;C)'!K5</f>
        <v>6096357.7393043628</v>
      </c>
      <c r="J4" s="5">
        <f>'Intangibles and Deprec. (C&amp;C)'!L5</f>
        <v>7760390.7364886478</v>
      </c>
      <c r="K4" s="5">
        <f>'Intangibles and Deprec. (C&amp;C)'!M5</f>
        <v>9632427.8583209682</v>
      </c>
      <c r="L4" s="5">
        <f>'Intangibles and Deprec. (C&amp;C)'!N5</f>
        <v>11691668.692336522</v>
      </c>
      <c r="M4" s="5">
        <f>'Intangibles and Deprec. (C&amp;C)'!O5</f>
        <v>13956833.609753631</v>
      </c>
      <c r="N4" s="5">
        <f>'Intangibles and Deprec. (C&amp;C)'!P5</f>
        <v>16391885.895977022</v>
      </c>
      <c r="O4" s="5"/>
      <c r="P4" s="5"/>
      <c r="Q4" s="5"/>
      <c r="R4" s="5"/>
      <c r="S4" s="5"/>
      <c r="T4" s="5"/>
      <c r="U4" s="5"/>
      <c r="V4" s="5"/>
    </row>
    <row r="5" spans="2:22" x14ac:dyDescent="0.3">
      <c r="B5" s="4" t="s">
        <v>3</v>
      </c>
      <c r="C5" s="5">
        <v>0</v>
      </c>
      <c r="D5" s="5">
        <f>'Intangibles and Deprec. (C&amp;C)'!F19</f>
        <v>-284860.29483950004</v>
      </c>
      <c r="E5" s="5">
        <f>'Intangibles and Deprec. (C&amp;C)'!G19</f>
        <v>-650802.45846562507</v>
      </c>
      <c r="F5" s="5">
        <f>'Intangibles and Deprec. (C&amp;C)'!H19</f>
        <v>-1122151.0515143627</v>
      </c>
      <c r="G5" s="5">
        <f>'Intangibles and Deprec. (C&amp;C)'!I19</f>
        <v>-1730281.8440851024</v>
      </c>
      <c r="H5" s="5">
        <f>'Intangibles and Deprec. (C&amp;C)'!J19</f>
        <v>-2516229.4960344448</v>
      </c>
      <c r="I5" s="5">
        <f>'Intangibles and Deprec. (C&amp;C)'!K19</f>
        <v>-3530482.4448359706</v>
      </c>
      <c r="J5" s="5">
        <f>'Intangibles and Deprec. (C&amp;C)'!L19</f>
        <v>-4539154.9794238666</v>
      </c>
      <c r="K5" s="5">
        <f>'Intangibles and Deprec. (C&amp;C)'!M19</f>
        <v>-5778522.9213311607</v>
      </c>
      <c r="L5" s="5">
        <f>'Intangibles and Deprec. (C&amp;C)'!N19</f>
        <v>-7256858.1274761474</v>
      </c>
      <c r="M5" s="5">
        <f>'Intangibles and Deprec. (C&amp;C)'!O19</f>
        <v>-8598361.9023536537</v>
      </c>
      <c r="N5" s="5">
        <f>'Intangibles and Deprec. (C&amp;C)'!P19</f>
        <v>-9761984.8165834341</v>
      </c>
      <c r="O5" s="5"/>
      <c r="P5" s="5"/>
      <c r="Q5" s="5"/>
      <c r="R5" s="5"/>
      <c r="S5" s="5"/>
      <c r="T5" s="5"/>
      <c r="U5" s="5"/>
      <c r="V5" s="5"/>
    </row>
    <row r="6" spans="2:22" x14ac:dyDescent="0.3">
      <c r="B6" s="6" t="s">
        <v>4</v>
      </c>
      <c r="C6" s="5">
        <f>+C4-C5</f>
        <v>1428310.17</v>
      </c>
      <c r="D6" s="5">
        <f>+D4+D5</f>
        <v>1420889.9736605</v>
      </c>
      <c r="E6" s="5">
        <f t="shared" ref="E6:N6" si="1">+E4+E5</f>
        <v>1540467.9824093748</v>
      </c>
      <c r="F6" s="5">
        <f t="shared" si="1"/>
        <v>1700295.6134481372</v>
      </c>
      <c r="G6" s="5">
        <f t="shared" si="1"/>
        <v>1912693.9121911475</v>
      </c>
      <c r="H6" s="5">
        <f t="shared" si="1"/>
        <v>2193434.0789496801</v>
      </c>
      <c r="I6" s="5">
        <f t="shared" si="1"/>
        <v>2565875.2944683922</v>
      </c>
      <c r="J6" s="5">
        <f t="shared" si="1"/>
        <v>3221235.7570647812</v>
      </c>
      <c r="K6" s="5">
        <f t="shared" si="1"/>
        <v>3853904.9369898075</v>
      </c>
      <c r="L6" s="5">
        <f t="shared" si="1"/>
        <v>4434810.5648603747</v>
      </c>
      <c r="M6" s="5">
        <f t="shared" si="1"/>
        <v>5358471.7073999774</v>
      </c>
      <c r="N6" s="5">
        <f t="shared" si="1"/>
        <v>6629901.079393588</v>
      </c>
      <c r="O6" s="5"/>
      <c r="P6" s="5"/>
      <c r="Q6" s="5"/>
      <c r="R6" s="5"/>
      <c r="S6" s="5"/>
      <c r="T6" s="5"/>
      <c r="U6" s="5"/>
      <c r="V6" s="5"/>
    </row>
    <row r="7" spans="2:22" x14ac:dyDescent="0.3">
      <c r="B7" s="6" t="s">
        <v>134</v>
      </c>
      <c r="C7" s="5">
        <v>22647513.609999999</v>
      </c>
      <c r="D7" s="5">
        <v>22647513.609999999</v>
      </c>
      <c r="E7" s="5">
        <v>22647513.609999999</v>
      </c>
      <c r="F7" s="5">
        <v>22647513.609999999</v>
      </c>
      <c r="G7" s="5">
        <v>22647513.609999999</v>
      </c>
      <c r="H7" s="5">
        <v>22647513.609999999</v>
      </c>
      <c r="I7" s="5">
        <v>22647513.609999999</v>
      </c>
      <c r="J7" s="5">
        <v>22647513.609999999</v>
      </c>
      <c r="K7" s="5">
        <v>22647513.609999999</v>
      </c>
      <c r="L7" s="5">
        <v>22647513.609999999</v>
      </c>
      <c r="M7" s="5">
        <v>22647513.609999999</v>
      </c>
      <c r="N7" s="5">
        <v>22647513.609999999</v>
      </c>
      <c r="O7" s="5"/>
      <c r="P7" s="5"/>
      <c r="Q7" s="5"/>
      <c r="R7" s="5"/>
      <c r="S7" s="5"/>
      <c r="T7" s="5"/>
      <c r="U7" s="5"/>
      <c r="V7" s="5"/>
    </row>
    <row r="8" spans="2:22" x14ac:dyDescent="0.3">
      <c r="B8" s="6" t="s">
        <v>5</v>
      </c>
      <c r="C8" s="5">
        <v>1288241.8400000001</v>
      </c>
      <c r="D8" s="5">
        <f>'Assumptions (C&amp;C)'!F15/365*'Income Statement (C&amp;C)'!D4</f>
        <v>2261326.8302397258</v>
      </c>
      <c r="E8" s="5">
        <f>'Assumptions (C&amp;C)'!G15/365*'Income Statement (C&amp;C)'!E4</f>
        <v>2766799.8864109586</v>
      </c>
      <c r="F8" s="5">
        <f>'Assumptions (C&amp;C)'!H15/365*'Income Statement (C&amp;C)'!F4</f>
        <v>3372037.3615633561</v>
      </c>
      <c r="G8" s="5">
        <f>'Assumptions (C&amp;C)'!I15/365*'Income Statement (C&amp;C)'!G4</f>
        <v>4091405.3320302051</v>
      </c>
      <c r="H8" s="5">
        <f>'Assumptions (C&amp;C)'!J15/365*'Income Statement (C&amp;C)'!H4</f>
        <v>4938910.7222364619</v>
      </c>
      <c r="I8" s="5">
        <f>'Assumptions (C&amp;C)'!K15/365*'Income Statement (C&amp;C)'!I4</f>
        <v>5470793.4154003887</v>
      </c>
      <c r="J8" s="5">
        <f>'Assumptions (C&amp;C)'!L15/365*'Income Statement (C&amp;C)'!J4</f>
        <v>6154642.5923254369</v>
      </c>
      <c r="K8" s="5">
        <f>'Assumptions (C&amp;C)'!M15/365*'Income Statement (C&amp;C)'!K4</f>
        <v>6770106.8515579812</v>
      </c>
      <c r="L8" s="5">
        <f>'Assumptions (C&amp;C)'!N15/365*'Income Statement (C&amp;C)'!L4</f>
        <v>7447117.5367137799</v>
      </c>
      <c r="M8" s="5">
        <f>'Assumptions (C&amp;C)'!O15/365*'Income Statement (C&amp;C)'!M4</f>
        <v>8005651.3519673143</v>
      </c>
      <c r="N8" s="5">
        <f>'Assumptions (C&amp;C)'!P15/365*'Income Statement (C&amp;C)'!N4</f>
        <v>8606075.2033648621</v>
      </c>
      <c r="O8" s="5"/>
      <c r="P8" s="5"/>
      <c r="Q8" s="5"/>
      <c r="R8" s="5"/>
      <c r="S8" s="5"/>
      <c r="T8" s="5"/>
      <c r="U8" s="5"/>
      <c r="V8" s="5"/>
    </row>
    <row r="9" spans="2:22" x14ac:dyDescent="0.3">
      <c r="B9" s="6" t="s">
        <v>6</v>
      </c>
      <c r="C9" s="5">
        <v>5644.05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/>
      <c r="P9" s="5"/>
      <c r="Q9" s="5"/>
      <c r="R9" s="5"/>
      <c r="S9" s="5"/>
      <c r="T9" s="5"/>
      <c r="U9" s="5"/>
      <c r="V9" s="5"/>
    </row>
    <row r="10" spans="2:22" x14ac:dyDescent="0.3">
      <c r="B10" s="6" t="s">
        <v>7</v>
      </c>
      <c r="C10" s="5">
        <v>0</v>
      </c>
      <c r="D10" s="5">
        <v>0</v>
      </c>
      <c r="E10" s="5">
        <v>0</v>
      </c>
      <c r="F10" s="5">
        <f t="shared" ref="F10:N10" si="2">AVERAGE(D10:E10)</f>
        <v>0</v>
      </c>
      <c r="G10" s="5">
        <f t="shared" si="2"/>
        <v>0</v>
      </c>
      <c r="H10" s="5">
        <f t="shared" si="2"/>
        <v>0</v>
      </c>
      <c r="I10" s="5">
        <f t="shared" si="2"/>
        <v>0</v>
      </c>
      <c r="J10" s="5">
        <f t="shared" si="2"/>
        <v>0</v>
      </c>
      <c r="K10" s="5">
        <f t="shared" si="2"/>
        <v>0</v>
      </c>
      <c r="L10" s="5">
        <f t="shared" si="2"/>
        <v>0</v>
      </c>
      <c r="M10" s="5">
        <f t="shared" si="2"/>
        <v>0</v>
      </c>
      <c r="N10" s="5">
        <f t="shared" si="2"/>
        <v>0</v>
      </c>
      <c r="O10" s="5"/>
      <c r="P10" s="5"/>
      <c r="Q10" s="5"/>
      <c r="R10" s="5"/>
      <c r="S10" s="5"/>
      <c r="T10" s="5"/>
      <c r="U10" s="5"/>
      <c r="V10" s="5"/>
    </row>
    <row r="11" spans="2:22" x14ac:dyDescent="0.3">
      <c r="B11" s="6" t="s">
        <v>8</v>
      </c>
      <c r="C11" s="5">
        <v>405969.08</v>
      </c>
      <c r="D11" s="78">
        <f>(C11/'Income Statement (C&amp;C)'!C4)*'Income Statement (C&amp;C)'!D4</f>
        <v>710445.89</v>
      </c>
      <c r="E11" s="78">
        <f>(D11/'Income Statement (C&amp;C)'!D4)*'Income Statement (C&amp;C)'!E4</f>
        <v>923579.65700000012</v>
      </c>
      <c r="F11" s="78">
        <f>(E11/'Income Statement (C&amp;C)'!E4)*'Income Statement (C&amp;C)'!F4</f>
        <v>1200653.5541000001</v>
      </c>
      <c r="G11" s="78">
        <f>(F11/'Income Statement (C&amp;C)'!F4)*'Income Statement (C&amp;C)'!G4</f>
        <v>1560849.6203300001</v>
      </c>
      <c r="H11" s="78">
        <f>(G11/'Income Statement (C&amp;C)'!G4)*'Income Statement (C&amp;C)'!H4</f>
        <v>2029104.5064290003</v>
      </c>
      <c r="I11" s="78">
        <f>(H11/'Income Statement (C&amp;C)'!H4)*'Income Statement (C&amp;C)'!I4</f>
        <v>2434925.4077148</v>
      </c>
      <c r="J11" s="78">
        <f>(I11/'Income Statement (C&amp;C)'!I4)*'Income Statement (C&amp;C)'!J4</f>
        <v>2739291.0836791499</v>
      </c>
      <c r="K11" s="78">
        <f>(J11/'Income Statement (C&amp;C)'!J4)*'Income Statement (C&amp;C)'!K4</f>
        <v>3013220.1920470651</v>
      </c>
      <c r="L11" s="78">
        <f>(K11/'Income Statement (C&amp;C)'!K4)*'Income Statement (C&amp;C)'!L4</f>
        <v>3314542.2112517725</v>
      </c>
      <c r="M11" s="78">
        <f>(L11/'Income Statement (C&amp;C)'!L4)*'Income Statement (C&amp;C)'!M4</f>
        <v>3563132.8770956551</v>
      </c>
      <c r="N11" s="78">
        <f>(M11/'Income Statement (C&amp;C)'!M4)*'Income Statement (C&amp;C)'!N4</f>
        <v>3830367.8428778294</v>
      </c>
      <c r="O11" s="5"/>
      <c r="P11" s="5"/>
      <c r="Q11" s="5"/>
      <c r="R11" s="5"/>
      <c r="S11" s="5"/>
      <c r="T11" s="5"/>
      <c r="U11" s="5"/>
      <c r="V11" s="5"/>
    </row>
    <row r="12" spans="2:22" x14ac:dyDescent="0.3">
      <c r="B12" s="6" t="s">
        <v>9</v>
      </c>
      <c r="C12" s="5">
        <v>900693.33</v>
      </c>
      <c r="D12" s="5">
        <f>+C12+'Cash-Flow (C&amp;C)'!E25</f>
        <v>2176056.3489020411</v>
      </c>
      <c r="E12" s="5">
        <f>+D12+'Cash-Flow (C&amp;C)'!F25</f>
        <v>4210741.8250898728</v>
      </c>
      <c r="F12" s="5">
        <f>+E12+'Cash-Flow (C&amp;C)'!G25</f>
        <v>7007791.4039147338</v>
      </c>
      <c r="G12" s="5">
        <f>+F12+'Cash-Flow (C&amp;C)'!H25</f>
        <v>10888200.275940847</v>
      </c>
      <c r="H12" s="5">
        <f>+G12+'Cash-Flow (C&amp;C)'!I25</f>
        <v>16227262.203500882</v>
      </c>
      <c r="I12" s="5">
        <f>+H12+'Cash-Flow (C&amp;C)'!J25</f>
        <v>22875308.939477213</v>
      </c>
      <c r="J12" s="5">
        <f>+I12+'Cash-Flow (C&amp;C)'!K25</f>
        <v>30084356.971573543</v>
      </c>
      <c r="K12" s="5">
        <f>+J12+'Cash-Flow (C&amp;C)'!L25</f>
        <v>38251279.388519734</v>
      </c>
      <c r="L12" s="5">
        <f>+K12+'Cash-Flow (C&amp;C)'!M25</f>
        <v>47292829.046168514</v>
      </c>
      <c r="M12" s="5">
        <f>+L12+'Cash-Flow (C&amp;C)'!N25</f>
        <v>56965914.926056258</v>
      </c>
      <c r="N12" s="5">
        <f>+M12+'Cash-Flow (C&amp;C)'!O25</f>
        <v>67312375.71609138</v>
      </c>
      <c r="O12" s="5"/>
      <c r="P12" s="5"/>
      <c r="Q12" s="5"/>
      <c r="R12" s="5"/>
      <c r="S12" s="5"/>
      <c r="T12" s="5"/>
      <c r="U12" s="5"/>
      <c r="V12" s="5"/>
    </row>
    <row r="13" spans="2:22" ht="4.4000000000000004" customHeight="1" x14ac:dyDescent="0.3"/>
    <row r="14" spans="2:22" ht="13.5" thickBot="1" x14ac:dyDescent="0.35">
      <c r="B14" s="8" t="s">
        <v>10</v>
      </c>
      <c r="C14" s="9">
        <f t="shared" ref="C14:N14" si="3">SUM(C6:C12)</f>
        <v>26676372.079999998</v>
      </c>
      <c r="D14" s="9">
        <f t="shared" si="3"/>
        <v>29216232.652802266</v>
      </c>
      <c r="E14" s="9">
        <f>SUM(E6:E12)</f>
        <v>32089102.960910205</v>
      </c>
      <c r="F14" s="9">
        <f>SUM(F6:F12)</f>
        <v>35928291.543026224</v>
      </c>
      <c r="G14" s="9">
        <f t="shared" si="3"/>
        <v>41100662.7504922</v>
      </c>
      <c r="H14" s="9">
        <f t="shared" si="3"/>
        <v>48036225.121116027</v>
      </c>
      <c r="I14" s="9">
        <f t="shared" si="3"/>
        <v>55994416.667060792</v>
      </c>
      <c r="J14" s="9">
        <f t="shared" si="3"/>
        <v>64847040.014642909</v>
      </c>
      <c r="K14" s="9">
        <f t="shared" si="3"/>
        <v>74536024.979114592</v>
      </c>
      <c r="L14" s="9">
        <f t="shared" si="3"/>
        <v>85136812.968994439</v>
      </c>
      <c r="M14" s="9">
        <f t="shared" si="3"/>
        <v>96540684.472519204</v>
      </c>
      <c r="N14" s="9">
        <f t="shared" si="3"/>
        <v>109026233.45172766</v>
      </c>
      <c r="O14" s="9"/>
      <c r="P14" s="9">
        <f t="shared" ref="P14:V14" si="4">+P8+P6+P12</f>
        <v>0</v>
      </c>
      <c r="Q14" s="9">
        <f t="shared" si="4"/>
        <v>0</v>
      </c>
      <c r="R14" s="9">
        <f t="shared" si="4"/>
        <v>0</v>
      </c>
      <c r="S14" s="9">
        <f t="shared" si="4"/>
        <v>0</v>
      </c>
      <c r="T14" s="9">
        <f t="shared" si="4"/>
        <v>0</v>
      </c>
      <c r="U14" s="9">
        <f t="shared" si="4"/>
        <v>0</v>
      </c>
      <c r="V14" s="9">
        <f t="shared" si="4"/>
        <v>0</v>
      </c>
    </row>
    <row r="15" spans="2:22" ht="13.5" thickTop="1" x14ac:dyDescent="0.3"/>
    <row r="16" spans="2:22" x14ac:dyDescent="0.3">
      <c r="B16" s="3" t="s">
        <v>11</v>
      </c>
    </row>
    <row r="17" spans="2:22" x14ac:dyDescent="0.3">
      <c r="B17" s="6" t="s">
        <v>12</v>
      </c>
      <c r="C17" s="5">
        <v>23300000</v>
      </c>
      <c r="D17" s="5">
        <f>C17</f>
        <v>23300000</v>
      </c>
      <c r="E17" s="5">
        <f>D17</f>
        <v>23300000</v>
      </c>
      <c r="F17" s="5">
        <f t="shared" ref="F17:N18" si="5">E17</f>
        <v>23300000</v>
      </c>
      <c r="G17" s="5">
        <f t="shared" si="5"/>
        <v>23300000</v>
      </c>
      <c r="H17" s="5">
        <f t="shared" si="5"/>
        <v>23300000</v>
      </c>
      <c r="I17" s="5">
        <f t="shared" si="5"/>
        <v>23300000</v>
      </c>
      <c r="J17" s="5">
        <f t="shared" si="5"/>
        <v>23300000</v>
      </c>
      <c r="K17" s="5">
        <f t="shared" si="5"/>
        <v>23300000</v>
      </c>
      <c r="L17" s="5">
        <f t="shared" si="5"/>
        <v>23300000</v>
      </c>
      <c r="M17" s="5">
        <f t="shared" si="5"/>
        <v>23300000</v>
      </c>
      <c r="N17" s="5">
        <f t="shared" si="5"/>
        <v>23300000</v>
      </c>
      <c r="O17" s="5"/>
      <c r="P17" s="5"/>
      <c r="Q17" s="5"/>
      <c r="R17" s="5"/>
      <c r="S17" s="5"/>
      <c r="T17" s="5"/>
      <c r="U17" s="5"/>
      <c r="V17" s="5"/>
    </row>
    <row r="18" spans="2:22" x14ac:dyDescent="0.3">
      <c r="B18" s="6" t="s">
        <v>13</v>
      </c>
      <c r="C18" s="5">
        <v>0</v>
      </c>
      <c r="D18" s="5">
        <v>0</v>
      </c>
      <c r="E18" s="5">
        <v>0</v>
      </c>
      <c r="F18" s="5">
        <f t="shared" si="5"/>
        <v>0</v>
      </c>
      <c r="G18" s="5">
        <f t="shared" si="5"/>
        <v>0</v>
      </c>
      <c r="H18" s="5">
        <f t="shared" si="5"/>
        <v>0</v>
      </c>
      <c r="I18" s="5">
        <f t="shared" si="5"/>
        <v>0</v>
      </c>
      <c r="J18" s="5">
        <f t="shared" si="5"/>
        <v>0</v>
      </c>
      <c r="K18" s="5">
        <f t="shared" si="5"/>
        <v>0</v>
      </c>
      <c r="L18" s="5">
        <f t="shared" si="5"/>
        <v>0</v>
      </c>
      <c r="M18" s="5">
        <f t="shared" si="5"/>
        <v>0</v>
      </c>
      <c r="N18" s="5">
        <f t="shared" si="5"/>
        <v>0</v>
      </c>
      <c r="O18" s="5"/>
      <c r="P18" s="5"/>
      <c r="Q18" s="5"/>
      <c r="R18" s="5"/>
      <c r="S18" s="5"/>
      <c r="T18" s="5"/>
      <c r="U18" s="5"/>
      <c r="V18" s="5"/>
    </row>
    <row r="19" spans="2:22" x14ac:dyDescent="0.3">
      <c r="B19" s="6" t="s">
        <v>14</v>
      </c>
      <c r="C19" s="76">
        <f>697106.39-28049.03-64064.46</f>
        <v>604992.9</v>
      </c>
      <c r="D19" s="5">
        <f>+C19+C20</f>
        <v>1834198.2000000002</v>
      </c>
      <c r="E19" s="5">
        <f>+D19+D20-'Cash-Flow (C&amp;C)'!F23</f>
        <v>3373538.8734875452</v>
      </c>
      <c r="F19" s="5">
        <f>+E19+E20-'Cash-Flow (C&amp;C)'!G23</f>
        <v>5477864.805962706</v>
      </c>
      <c r="G19" s="5">
        <f>+F19+F20-'Cash-Flow (C&amp;C)'!H23</f>
        <v>8346589.3281435156</v>
      </c>
      <c r="H19" s="5">
        <f>+G19+G20-'Cash-Flow (C&amp;C)'!I23</f>
        <v>12248119.561264582</v>
      </c>
      <c r="I19" s="5">
        <f>+H19+H20-'Cash-Flow (C&amp;C)'!J23</f>
        <v>17542858.221214734</v>
      </c>
      <c r="J19" s="5">
        <f>+I19+I20-'Cash-Flow (C&amp;C)'!K23</f>
        <v>24103280.371204808</v>
      </c>
      <c r="K19" s="5">
        <f>+J19+J20-'Cash-Flow (C&amp;C)'!L23</f>
        <v>31884103.161116064</v>
      </c>
      <c r="L19" s="5">
        <f>+K19+K20-'Cash-Flow (C&amp;C)'!M23</f>
        <v>40665804.040243022</v>
      </c>
      <c r="M19" s="5">
        <f>+L19+L20-'Cash-Flow (C&amp;C)'!N23</f>
        <v>50234800.935945578</v>
      </c>
      <c r="N19" s="5">
        <f>+M19+M20-'Cash-Flow (C&amp;C)'!O23</f>
        <v>60717160.790491223</v>
      </c>
      <c r="O19" s="5"/>
      <c r="P19" s="5"/>
      <c r="Q19" s="5"/>
      <c r="R19" s="5"/>
      <c r="S19" s="5"/>
      <c r="T19" s="5"/>
      <c r="U19" s="5"/>
      <c r="V19" s="5"/>
    </row>
    <row r="20" spans="2:22" x14ac:dyDescent="0.3">
      <c r="B20" s="6" t="s">
        <v>15</v>
      </c>
      <c r="C20" s="7">
        <f>1229205.3</f>
        <v>1229205.3</v>
      </c>
      <c r="D20" s="7">
        <f>+'Income Statement (C&amp;C)'!D18</f>
        <v>1539340.6734875452</v>
      </c>
      <c r="E20" s="7">
        <f>+'Income Statement (C&amp;C)'!E18</f>
        <v>2104325.9324751613</v>
      </c>
      <c r="F20" s="7">
        <f>+'Income Statement (C&amp;C)'!F18</f>
        <v>2868724.5221808096</v>
      </c>
      <c r="G20" s="7">
        <f>+'Income Statement (C&amp;C)'!G18</f>
        <v>3901530.2331210659</v>
      </c>
      <c r="H20" s="7">
        <f>+'Income Statement (C&amp;C)'!H18</f>
        <v>5294738.659950152</v>
      </c>
      <c r="I20" s="7">
        <f>+'Income Statement (C&amp;C)'!I18</f>
        <v>6560422.1499900734</v>
      </c>
      <c r="J20" s="7">
        <f>+'Income Statement (C&amp;C)'!J18</f>
        <v>7780822.7899112562</v>
      </c>
      <c r="K20" s="7">
        <f>+'Income Statement (C&amp;C)'!K18</f>
        <v>8781700.8791269604</v>
      </c>
      <c r="L20" s="7">
        <f>+'Income Statement (C&amp;C)'!L18</f>
        <v>9568996.8957025539</v>
      </c>
      <c r="M20" s="7">
        <f>+'Income Statement (C&amp;C)'!M18</f>
        <v>10482359.854545647</v>
      </c>
      <c r="N20" s="7">
        <f>+'Income Statement (C&amp;C)'!N18</f>
        <v>11488546.822209764</v>
      </c>
      <c r="P20" s="5"/>
      <c r="Q20" s="5"/>
      <c r="R20" s="5"/>
      <c r="S20" s="5"/>
      <c r="T20" s="5"/>
      <c r="U20" s="5"/>
      <c r="V20" s="5"/>
    </row>
    <row r="21" spans="2:22" x14ac:dyDescent="0.3">
      <c r="B21" s="6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2:22" ht="13.5" thickBot="1" x14ac:dyDescent="0.35">
      <c r="B22" s="8" t="s">
        <v>16</v>
      </c>
      <c r="C22" s="9">
        <f>SUM(C17:C20)</f>
        <v>25134198.199999999</v>
      </c>
      <c r="D22" s="9">
        <f t="shared" ref="D22:V22" si="6">SUM(D17:D20)</f>
        <v>26673538.873487543</v>
      </c>
      <c r="E22" s="9">
        <f>SUM(E17:E20)</f>
        <v>28777864.805962708</v>
      </c>
      <c r="F22" s="9">
        <f t="shared" si="6"/>
        <v>31646589.328143515</v>
      </c>
      <c r="G22" s="9">
        <f t="shared" si="6"/>
        <v>35548119.561264582</v>
      </c>
      <c r="H22" s="9">
        <f t="shared" si="6"/>
        <v>40842858.221214734</v>
      </c>
      <c r="I22" s="9">
        <f t="shared" si="6"/>
        <v>47403280.371204808</v>
      </c>
      <c r="J22" s="9">
        <f t="shared" si="6"/>
        <v>55184103.161116064</v>
      </c>
      <c r="K22" s="9">
        <f t="shared" si="6"/>
        <v>63965804.040243022</v>
      </c>
      <c r="L22" s="9">
        <f t="shared" si="6"/>
        <v>73534800.93594557</v>
      </c>
      <c r="M22" s="9">
        <f t="shared" si="6"/>
        <v>84017160.790491223</v>
      </c>
      <c r="N22" s="9">
        <f t="shared" si="6"/>
        <v>95505707.612700984</v>
      </c>
      <c r="O22" s="9"/>
      <c r="P22" s="9">
        <f t="shared" si="6"/>
        <v>0</v>
      </c>
      <c r="Q22" s="9">
        <f t="shared" si="6"/>
        <v>0</v>
      </c>
      <c r="R22" s="9">
        <f t="shared" si="6"/>
        <v>0</v>
      </c>
      <c r="S22" s="9">
        <f t="shared" si="6"/>
        <v>0</v>
      </c>
      <c r="T22" s="9">
        <f t="shared" si="6"/>
        <v>0</v>
      </c>
      <c r="U22" s="9">
        <f t="shared" si="6"/>
        <v>0</v>
      </c>
      <c r="V22" s="9">
        <f t="shared" si="6"/>
        <v>0</v>
      </c>
    </row>
    <row r="23" spans="2:22" ht="13.5" thickTop="1" x14ac:dyDescent="0.3"/>
    <row r="24" spans="2:22" x14ac:dyDescent="0.3">
      <c r="B24" s="3" t="s">
        <v>17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2:22" x14ac:dyDescent="0.3">
      <c r="B25" s="6" t="s">
        <v>18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2:22" x14ac:dyDescent="0.3">
      <c r="B26" s="10" t="s">
        <v>19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/>
      <c r="P26" s="5"/>
      <c r="Q26" s="5"/>
      <c r="R26" s="5"/>
      <c r="S26" s="5"/>
      <c r="T26" s="5"/>
      <c r="U26" s="5"/>
      <c r="V26" s="5"/>
    </row>
    <row r="27" spans="2:22" x14ac:dyDescent="0.3">
      <c r="B27" s="6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2:22" x14ac:dyDescent="0.3">
      <c r="B28" s="6" t="s">
        <v>20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2:22" x14ac:dyDescent="0.3">
      <c r="B29" s="10" t="s">
        <v>21</v>
      </c>
      <c r="C29" s="5">
        <v>593307.97</v>
      </c>
      <c r="D29" s="5">
        <f>'Assumptions (C&amp;C)'!F16/365*'Income Statement (C&amp;C)'!D5</f>
        <v>1106187.8776631507</v>
      </c>
      <c r="E29" s="5">
        <f>'Assumptions (C&amp;C)'!G16/365*'Income Statement (C&amp;C)'!E5</f>
        <v>1419368.3417288219</v>
      </c>
      <c r="F29" s="5">
        <f>'Assumptions (C&amp;C)'!H16/365*'Income Statement (C&amp;C)'!F5</f>
        <v>1820900.1752442124</v>
      </c>
      <c r="G29" s="5">
        <f>'Assumptions (C&amp;C)'!I16/365*'Income Statement (C&amp;C)'!G5</f>
        <v>2335607.9581132429</v>
      </c>
      <c r="H29" s="5">
        <f>'Assumptions (C&amp;C)'!J16/365*'Income Statement (C&amp;C)'!H5</f>
        <v>2995259.3949317131</v>
      </c>
      <c r="I29" s="5">
        <f>'Assumptions (C&amp;C)'!K16/365*'Income Statement (C&amp;C)'!I5</f>
        <v>3545074.1331794518</v>
      </c>
      <c r="J29" s="5">
        <f>'Assumptions (C&amp;C)'!L16/365*'Income Statement (C&amp;C)'!J5</f>
        <v>3932816.6164959543</v>
      </c>
      <c r="K29" s="5">
        <f>'Assumptions (C&amp;C)'!M16/365*'Income Statement (C&amp;C)'!K5</f>
        <v>4265167.3164815279</v>
      </c>
      <c r="L29" s="5">
        <f>'Assumptions (C&amp;C)'!N16/365*'Income Statement (C&amp;C)'!L5</f>
        <v>4691684.0481296815</v>
      </c>
      <c r="M29" s="5">
        <f>'Assumptions (C&amp;C)'!O16/365*'Income Statement (C&amp;C)'!M5</f>
        <v>5043560.3517394075</v>
      </c>
      <c r="N29" s="5">
        <f>'Assumptions (C&amp;C)'!P16/365*'Income Statement (C&amp;C)'!N5</f>
        <v>5421827.3781198636</v>
      </c>
      <c r="O29" s="5"/>
      <c r="P29" s="5"/>
      <c r="Q29" s="5"/>
      <c r="R29" s="5"/>
      <c r="S29" s="5"/>
      <c r="T29" s="5"/>
      <c r="U29" s="5"/>
      <c r="V29" s="5"/>
    </row>
    <row r="30" spans="2:22" x14ac:dyDescent="0.3">
      <c r="B30" s="10" t="s">
        <v>22</v>
      </c>
      <c r="C30" s="5">
        <v>199411.77</v>
      </c>
      <c r="D30" s="5">
        <f>'Income Statement (C&amp;C)'!D16</f>
        <v>409191.82459795504</v>
      </c>
      <c r="E30" s="5">
        <f>'Income Statement (C&amp;C)'!E16</f>
        <v>559377.77951871371</v>
      </c>
      <c r="F30" s="5">
        <f>'Income Statement (C&amp;C)'!F16</f>
        <v>762572.3413392026</v>
      </c>
      <c r="G30" s="5">
        <f>'Income Statement (C&amp;C)'!G16</f>
        <v>1037115.631589144</v>
      </c>
      <c r="H30" s="5">
        <f>'Income Statement (C&amp;C)'!H16</f>
        <v>1407462.1754297873</v>
      </c>
      <c r="I30" s="5">
        <f>'Income Statement (C&amp;C)'!I16</f>
        <v>1743909.685440399</v>
      </c>
      <c r="J30" s="5">
        <f>'Income Statement (C&amp;C)'!J16</f>
        <v>2068319.9821283084</v>
      </c>
      <c r="K30" s="5">
        <f>'Income Statement (C&amp;C)'!K16</f>
        <v>2334376.1830590651</v>
      </c>
      <c r="L30" s="5">
        <f>'Income Statement (C&amp;C)'!L16</f>
        <v>2543657.4026551093</v>
      </c>
      <c r="M30" s="5">
        <f>'Income Statement (C&amp;C)'!M16</f>
        <v>2786450.0879171975</v>
      </c>
      <c r="N30" s="5">
        <f>'Income Statement (C&amp;C)'!N16</f>
        <v>3053917.5097013297</v>
      </c>
      <c r="O30" s="5"/>
      <c r="P30" s="5"/>
      <c r="Q30" s="5"/>
      <c r="R30" s="5"/>
      <c r="S30" s="5"/>
      <c r="T30" s="5"/>
      <c r="U30" s="5"/>
      <c r="V30" s="5"/>
    </row>
    <row r="31" spans="2:22" x14ac:dyDescent="0.3">
      <c r="B31" s="10" t="s">
        <v>23</v>
      </c>
      <c r="C31" s="5">
        <v>389247.96</v>
      </c>
      <c r="D31" s="5">
        <f>'Assumptions (C&amp;C)'!F14*'Income Statement (C&amp;C)'!D5</f>
        <v>373850.53272875003</v>
      </c>
      <c r="E31" s="5">
        <f>'Assumptions (C&amp;C)'!G14*'Income Statement (C&amp;C)'!E5</f>
        <v>479693.93030650006</v>
      </c>
      <c r="F31" s="5">
        <f>'Assumptions (C&amp;C)'!H14*'Income Statement (C&amp;C)'!F5</f>
        <v>615396.81848531251</v>
      </c>
      <c r="G31" s="5">
        <f>'Assumptions (C&amp;C)'!I14*'Income Statement (C&amp;C)'!G5</f>
        <v>789348.98584382748</v>
      </c>
      <c r="H31" s="5">
        <f>'Assumptions (C&amp;C)'!J14*'Income Statement (C&amp;C)'!H5</f>
        <v>1012286.7399537736</v>
      </c>
      <c r="I31" s="5">
        <f>'Assumptions (C&amp;C)'!K14*'Income Statement (C&amp;C)'!I5</f>
        <v>1198103.7579726852</v>
      </c>
      <c r="J31" s="5">
        <f>'Assumptions (C&amp;C)'!L14*'Income Statement (C&amp;C)'!J5</f>
        <v>1329146.3565009476</v>
      </c>
      <c r="K31" s="5">
        <f>'Assumptions (C&amp;C)'!M14*'Income Statement (C&amp;C)'!K5</f>
        <v>1441468.5838108868</v>
      </c>
      <c r="L31" s="5">
        <f>'Assumptions (C&amp;C)'!N14*'Income Statement (C&amp;C)'!L5</f>
        <v>1585615.4421919759</v>
      </c>
      <c r="M31" s="5">
        <f>'Assumptions (C&amp;C)'!O14*'Income Statement (C&amp;C)'!M5</f>
        <v>1704536.6003563739</v>
      </c>
      <c r="N31" s="5">
        <f>'Assumptions (C&amp;C)'!P14*'Income Statement (C&amp;C)'!N5</f>
        <v>1832376.8453831021</v>
      </c>
      <c r="O31" s="5"/>
      <c r="P31" s="5"/>
      <c r="Q31" s="5"/>
      <c r="R31" s="5"/>
      <c r="S31" s="5"/>
      <c r="T31" s="5"/>
      <c r="U31" s="5"/>
      <c r="V31" s="5"/>
    </row>
    <row r="32" spans="2:22" x14ac:dyDescent="0.3">
      <c r="B32" s="10" t="s">
        <v>24</v>
      </c>
      <c r="C32" s="5">
        <v>352108.17</v>
      </c>
      <c r="D32" s="5">
        <f>(C32/'Income Statement (C&amp;C)'!C5)*'Income Statement (C&amp;C)'!D5</f>
        <v>653463.5343248659</v>
      </c>
      <c r="E32" s="5">
        <f>(D32/'Income Statement (C&amp;C)'!D5)*'Income Statement (C&amp;C)'!E5</f>
        <v>838470.09339346434</v>
      </c>
      <c r="F32" s="5">
        <f>(E32/'Income Statement (C&amp;C)'!E5)*'Income Statement (C&amp;C)'!F5</f>
        <v>1075668.8698139838</v>
      </c>
      <c r="G32" s="5">
        <f>(F32/'Income Statement (C&amp;C)'!F5)*'Income Statement (C&amp;C)'!G5</f>
        <v>1379724.603681403</v>
      </c>
      <c r="H32" s="5">
        <f>(G32/'Income Statement (C&amp;C)'!G5)*'Income Statement (C&amp;C)'!H5</f>
        <v>1769403.5795860158</v>
      </c>
      <c r="I32" s="5">
        <f>(H32/'Income Statement (C&amp;C)'!H5)*'Income Statement (C&amp;C)'!I5</f>
        <v>2094198.2092634484</v>
      </c>
      <c r="J32" s="5">
        <f>(I32/'Income Statement (C&amp;C)'!I5)*'Income Statement (C&amp;C)'!J5</f>
        <v>2323251.1384016378</v>
      </c>
      <c r="K32" s="5">
        <f>(J32/'Income Statement (C&amp;C)'!J5)*'Income Statement (C&amp;C)'!K5</f>
        <v>2519582.2205200861</v>
      </c>
      <c r="L32" s="5">
        <f>(K32/'Income Statement (C&amp;C)'!K5)*'Income Statement (C&amp;C)'!L5</f>
        <v>2771540.4425720954</v>
      </c>
      <c r="M32" s="5">
        <f>(L32/'Income Statement (C&amp;C)'!L5)*'Income Statement (C&amp;C)'!M5</f>
        <v>2979405.9757650029</v>
      </c>
      <c r="N32" s="5">
        <f>(M32/'Income Statement (C&amp;C)'!M5)*'Income Statement (C&amp;C)'!N5</f>
        <v>3202861.4239473781</v>
      </c>
      <c r="O32" s="5"/>
      <c r="P32" s="5"/>
      <c r="Q32" s="5"/>
      <c r="R32" s="5"/>
      <c r="S32" s="5"/>
      <c r="T32" s="5"/>
      <c r="U32" s="5"/>
      <c r="V32" s="5"/>
    </row>
    <row r="33" spans="2:22" x14ac:dyDescent="0.3">
      <c r="B33" s="10" t="s">
        <v>25</v>
      </c>
      <c r="C33" s="5">
        <v>8098</v>
      </c>
      <c r="D33" s="5">
        <v>0</v>
      </c>
      <c r="E33" s="5">
        <v>14328</v>
      </c>
      <c r="F33" s="5">
        <f>AVERAGE(D33:E33)</f>
        <v>7164</v>
      </c>
      <c r="G33" s="5">
        <f t="shared" ref="G33:N33" si="7">AVERAGE(E33:F33)</f>
        <v>10746</v>
      </c>
      <c r="H33" s="5">
        <f t="shared" si="7"/>
        <v>8955</v>
      </c>
      <c r="I33" s="5">
        <f t="shared" si="7"/>
        <v>9850.5</v>
      </c>
      <c r="J33" s="5">
        <f t="shared" si="7"/>
        <v>9402.75</v>
      </c>
      <c r="K33" s="5">
        <f t="shared" si="7"/>
        <v>9626.625</v>
      </c>
      <c r="L33" s="5">
        <f t="shared" si="7"/>
        <v>9514.6875</v>
      </c>
      <c r="M33" s="5">
        <f t="shared" si="7"/>
        <v>9570.65625</v>
      </c>
      <c r="N33" s="5">
        <f t="shared" si="7"/>
        <v>9542.671875</v>
      </c>
      <c r="O33" s="5"/>
      <c r="P33" s="5"/>
      <c r="Q33" s="5"/>
      <c r="R33" s="5"/>
      <c r="S33" s="5"/>
      <c r="T33" s="5"/>
      <c r="U33" s="5"/>
      <c r="V33" s="5"/>
    </row>
    <row r="34" spans="2:22" x14ac:dyDescent="0.3">
      <c r="B34" s="6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2:22" ht="13.5" thickBot="1" x14ac:dyDescent="0.35">
      <c r="B35" s="8" t="s">
        <v>26</v>
      </c>
      <c r="C35" s="9">
        <f>+C29+C31+C30+C26+C33+C32</f>
        <v>1542173.8699999999</v>
      </c>
      <c r="D35" s="9">
        <f>+D29+D31+D30+D26+D32+D33</f>
        <v>2542693.7693147217</v>
      </c>
      <c r="E35" s="9">
        <f>SUM(E26:E33)</f>
        <v>3311238.1449475</v>
      </c>
      <c r="F35" s="9">
        <f t="shared" ref="F35:N35" si="8">SUM(F26:F33)</f>
        <v>4281702.2048827112</v>
      </c>
      <c r="G35" s="9">
        <f t="shared" si="8"/>
        <v>5552543.1792276176</v>
      </c>
      <c r="H35" s="9">
        <f t="shared" si="8"/>
        <v>7193366.8899012897</v>
      </c>
      <c r="I35" s="9">
        <f t="shared" si="8"/>
        <v>8591136.2858559843</v>
      </c>
      <c r="J35" s="9">
        <f t="shared" si="8"/>
        <v>9662936.8435268477</v>
      </c>
      <c r="K35" s="9">
        <f t="shared" si="8"/>
        <v>10570220.928871566</v>
      </c>
      <c r="L35" s="9">
        <f t="shared" si="8"/>
        <v>11602012.023048863</v>
      </c>
      <c r="M35" s="9">
        <f t="shared" si="8"/>
        <v>12523523.672027981</v>
      </c>
      <c r="N35" s="9">
        <f t="shared" si="8"/>
        <v>13520525.829026673</v>
      </c>
      <c r="O35" s="9"/>
      <c r="P35" s="9">
        <f t="shared" ref="P35:V35" si="9">+P29+P31+P30+P26</f>
        <v>0</v>
      </c>
      <c r="Q35" s="9">
        <f t="shared" si="9"/>
        <v>0</v>
      </c>
      <c r="R35" s="9">
        <f t="shared" si="9"/>
        <v>0</v>
      </c>
      <c r="S35" s="9">
        <f t="shared" si="9"/>
        <v>0</v>
      </c>
      <c r="T35" s="9">
        <f t="shared" si="9"/>
        <v>0</v>
      </c>
      <c r="U35" s="9">
        <f t="shared" si="9"/>
        <v>0</v>
      </c>
      <c r="V35" s="9">
        <f t="shared" si="9"/>
        <v>0</v>
      </c>
    </row>
    <row r="36" spans="2:22" ht="13.5" thickTop="1" x14ac:dyDescent="0.3"/>
    <row r="37" spans="2:22" x14ac:dyDescent="0.3">
      <c r="B37" s="11" t="s">
        <v>27</v>
      </c>
      <c r="C37" s="12">
        <f>+C14-C35-C22</f>
        <v>9.9999979138374329E-3</v>
      </c>
      <c r="D37" s="12">
        <f t="shared" ref="D37:V37" si="10">+D14-D35-D22</f>
        <v>1.0000001639127731E-2</v>
      </c>
      <c r="E37" s="12">
        <f t="shared" si="10"/>
        <v>9.9999979138374329E-3</v>
      </c>
      <c r="F37" s="12">
        <f>+F14-F35-F22</f>
        <v>9.9999979138374329E-3</v>
      </c>
      <c r="G37" s="12">
        <f t="shared" si="10"/>
        <v>9.9999979138374329E-3</v>
      </c>
      <c r="H37" s="12">
        <f t="shared" si="10"/>
        <v>1.000000536441803E-2</v>
      </c>
      <c r="I37" s="12">
        <f t="shared" si="10"/>
        <v>9.9999979138374329E-3</v>
      </c>
      <c r="J37" s="12">
        <f t="shared" si="10"/>
        <v>9.9999979138374329E-3</v>
      </c>
      <c r="K37" s="12">
        <f t="shared" si="10"/>
        <v>1.000000536441803E-2</v>
      </c>
      <c r="L37" s="12">
        <f t="shared" si="10"/>
        <v>1.000000536441803E-2</v>
      </c>
      <c r="M37" s="12">
        <f t="shared" si="10"/>
        <v>1.000000536441803E-2</v>
      </c>
      <c r="N37" s="12">
        <f t="shared" si="10"/>
        <v>1.000000536441803E-2</v>
      </c>
      <c r="O37" s="12">
        <f t="shared" si="10"/>
        <v>0</v>
      </c>
      <c r="P37" s="12">
        <f t="shared" si="10"/>
        <v>0</v>
      </c>
      <c r="Q37" s="12">
        <f t="shared" si="10"/>
        <v>0</v>
      </c>
      <c r="R37" s="12">
        <f t="shared" si="10"/>
        <v>0</v>
      </c>
      <c r="S37" s="12">
        <f t="shared" si="10"/>
        <v>0</v>
      </c>
      <c r="T37" s="12">
        <f t="shared" si="10"/>
        <v>0</v>
      </c>
      <c r="U37" s="12">
        <f t="shared" si="10"/>
        <v>0</v>
      </c>
      <c r="V37" s="12">
        <f t="shared" si="10"/>
        <v>0</v>
      </c>
    </row>
    <row r="40" spans="2:22" x14ac:dyDescent="0.3">
      <c r="D40" s="13"/>
      <c r="E40" s="14"/>
    </row>
    <row r="41" spans="2:22" x14ac:dyDescent="0.3">
      <c r="D41" s="13"/>
      <c r="F41" s="13"/>
      <c r="G41" s="13"/>
      <c r="H41" s="13"/>
    </row>
    <row r="42" spans="2:22" x14ac:dyDescent="0.3">
      <c r="D42" s="13"/>
      <c r="F42" s="13"/>
    </row>
    <row r="44" spans="2:22" ht="15.5" x14ac:dyDescent="0.3">
      <c r="F44" s="15"/>
    </row>
    <row r="45" spans="2:22" ht="15.5" x14ac:dyDescent="0.3">
      <c r="F45" s="15"/>
    </row>
    <row r="46" spans="2:22" ht="15.5" x14ac:dyDescent="0.3">
      <c r="F46" s="15"/>
    </row>
    <row r="47" spans="2:22" ht="15.5" x14ac:dyDescent="0.3">
      <c r="F47" s="15"/>
    </row>
  </sheetData>
  <pageMargins left="0.75" right="0.75" top="1" bottom="1" header="0.5" footer="0.5"/>
  <pageSetup paperSize="0" orientation="portrait" horizontalDpi="4294967292" verticalDpi="4294967292"/>
  <ignoredErrors>
    <ignoredError sqref="F10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10523-B5F9-4DD3-9928-20FEA87FFB15}">
  <sheetPr>
    <tabColor theme="8" tint="0.59999389629810485"/>
  </sheetPr>
  <dimension ref="A1:O31"/>
  <sheetViews>
    <sheetView showGridLines="0" workbookViewId="0">
      <selection activeCell="C25" sqref="C25:N32"/>
    </sheetView>
  </sheetViews>
  <sheetFormatPr baseColWidth="10" defaultColWidth="8.58203125" defaultRowHeight="15.5" x14ac:dyDescent="0.35"/>
  <cols>
    <col min="6" max="6" width="11.08203125" bestFit="1" customWidth="1"/>
    <col min="7" max="9" width="8.58203125" bestFit="1" customWidth="1"/>
    <col min="10" max="10" width="9.08203125" bestFit="1" customWidth="1"/>
    <col min="11" max="15" width="8.58203125" bestFit="1" customWidth="1"/>
  </cols>
  <sheetData>
    <row r="1" spans="1:15" x14ac:dyDescent="0.35">
      <c r="A1" s="61" t="s">
        <v>110</v>
      </c>
      <c r="B1" s="61" t="s">
        <v>111</v>
      </c>
      <c r="E1">
        <v>2020</v>
      </c>
      <c r="F1">
        <f>E1+1</f>
        <v>2021</v>
      </c>
      <c r="G1">
        <f t="shared" ref="G1:O1" si="0">F1+1</f>
        <v>2022</v>
      </c>
      <c r="H1">
        <f t="shared" si="0"/>
        <v>2023</v>
      </c>
      <c r="I1">
        <f t="shared" si="0"/>
        <v>2024</v>
      </c>
      <c r="J1">
        <f t="shared" si="0"/>
        <v>2025</v>
      </c>
      <c r="K1">
        <f t="shared" si="0"/>
        <v>2026</v>
      </c>
      <c r="L1">
        <f t="shared" si="0"/>
        <v>2027</v>
      </c>
      <c r="M1">
        <f t="shared" si="0"/>
        <v>2028</v>
      </c>
      <c r="N1">
        <f t="shared" si="0"/>
        <v>2029</v>
      </c>
      <c r="O1">
        <f t="shared" si="0"/>
        <v>2030</v>
      </c>
    </row>
    <row r="3" spans="1:15" x14ac:dyDescent="0.35">
      <c r="A3" s="62" t="s">
        <v>112</v>
      </c>
      <c r="B3" s="63"/>
      <c r="C3" s="63"/>
      <c r="D3" s="63"/>
      <c r="E3" s="64">
        <v>2020</v>
      </c>
      <c r="F3" s="64">
        <f>E3+1</f>
        <v>2021</v>
      </c>
      <c r="G3" s="64">
        <f t="shared" ref="G3:O3" si="1">F3+1</f>
        <v>2022</v>
      </c>
      <c r="H3" s="64">
        <f t="shared" si="1"/>
        <v>2023</v>
      </c>
      <c r="I3" s="64">
        <f t="shared" si="1"/>
        <v>2024</v>
      </c>
      <c r="J3" s="64">
        <f t="shared" si="1"/>
        <v>2025</v>
      </c>
      <c r="K3" s="64">
        <f t="shared" si="1"/>
        <v>2026</v>
      </c>
      <c r="L3" s="64">
        <f t="shared" si="1"/>
        <v>2027</v>
      </c>
      <c r="M3" s="64">
        <f t="shared" si="1"/>
        <v>2028</v>
      </c>
      <c r="N3" s="64">
        <f t="shared" si="1"/>
        <v>2029</v>
      </c>
      <c r="O3" s="64">
        <f t="shared" si="1"/>
        <v>2030</v>
      </c>
    </row>
    <row r="4" spans="1:15" x14ac:dyDescent="0.35">
      <c r="A4" s="63" t="s">
        <v>113</v>
      </c>
      <c r="B4" s="63"/>
      <c r="C4" s="63"/>
      <c r="D4" s="63"/>
      <c r="E4" s="65">
        <v>0.02</v>
      </c>
      <c r="F4" s="66">
        <v>0.02</v>
      </c>
      <c r="G4" s="66">
        <v>0.02</v>
      </c>
      <c r="H4" s="66">
        <v>0.02</v>
      </c>
      <c r="I4" s="66">
        <v>0.02</v>
      </c>
      <c r="J4" s="66">
        <v>0.02</v>
      </c>
      <c r="K4" s="66">
        <v>0.02</v>
      </c>
      <c r="L4" s="66">
        <v>0.02</v>
      </c>
      <c r="M4" s="66">
        <v>0.02</v>
      </c>
      <c r="N4" s="66">
        <v>0.02</v>
      </c>
      <c r="O4" s="66">
        <v>0.02</v>
      </c>
    </row>
    <row r="5" spans="1:15" x14ac:dyDescent="0.35">
      <c r="A5" s="63" t="s">
        <v>114</v>
      </c>
      <c r="B5" s="63"/>
      <c r="C5" s="63"/>
      <c r="D5" s="63"/>
      <c r="E5" s="67">
        <v>0.21</v>
      </c>
      <c r="F5" s="66">
        <v>0.21</v>
      </c>
      <c r="G5" s="66">
        <v>0.21</v>
      </c>
      <c r="H5" s="66">
        <v>0.21</v>
      </c>
      <c r="I5" s="66">
        <v>0.21</v>
      </c>
      <c r="J5" s="66">
        <v>0.21</v>
      </c>
      <c r="K5" s="66">
        <v>0.21</v>
      </c>
      <c r="L5" s="66">
        <v>0.21</v>
      </c>
      <c r="M5" s="66">
        <v>0.21</v>
      </c>
      <c r="N5" s="66">
        <v>0.21</v>
      </c>
      <c r="O5" s="66">
        <v>0.21</v>
      </c>
    </row>
    <row r="6" spans="1:15" x14ac:dyDescent="0.35">
      <c r="A6" s="63" t="s">
        <v>115</v>
      </c>
      <c r="B6" s="63"/>
      <c r="C6" s="63"/>
      <c r="D6" s="63"/>
      <c r="E6" s="68">
        <v>365</v>
      </c>
      <c r="F6" s="69">
        <v>365</v>
      </c>
      <c r="G6" s="69">
        <v>365</v>
      </c>
      <c r="H6" s="69">
        <v>365</v>
      </c>
      <c r="I6" s="69">
        <v>365</v>
      </c>
      <c r="J6" s="69">
        <v>365</v>
      </c>
      <c r="K6" s="69">
        <v>365</v>
      </c>
      <c r="L6" s="69">
        <v>365</v>
      </c>
      <c r="M6" s="69">
        <v>365</v>
      </c>
      <c r="N6" s="69">
        <v>365</v>
      </c>
      <c r="O6" s="69">
        <v>365</v>
      </c>
    </row>
    <row r="7" spans="1:15" x14ac:dyDescent="0.35">
      <c r="A7" s="63"/>
      <c r="B7" s="63"/>
      <c r="C7" s="63"/>
      <c r="D7" s="63"/>
      <c r="E7" s="68"/>
      <c r="F7" s="69"/>
      <c r="G7" s="69"/>
      <c r="H7" s="69"/>
      <c r="I7" s="69"/>
      <c r="J7" s="69"/>
      <c r="K7" s="69"/>
      <c r="L7" s="69"/>
      <c r="M7" s="69"/>
      <c r="N7" s="69"/>
      <c r="O7" s="69"/>
    </row>
    <row r="8" spans="1:15" x14ac:dyDescent="0.35">
      <c r="A8" s="62" t="s">
        <v>116</v>
      </c>
      <c r="B8" s="63"/>
      <c r="C8" s="63"/>
      <c r="D8" s="63"/>
      <c r="E8" s="68"/>
      <c r="F8" s="69"/>
      <c r="G8" s="69"/>
      <c r="H8" s="69"/>
      <c r="I8" s="69"/>
      <c r="J8" s="69"/>
      <c r="K8" s="69"/>
      <c r="L8" s="69"/>
      <c r="M8" s="69"/>
      <c r="N8" s="69"/>
      <c r="O8" s="69"/>
    </row>
    <row r="9" spans="1:15" x14ac:dyDescent="0.35">
      <c r="A9" s="63" t="s">
        <v>117</v>
      </c>
      <c r="B9" s="63"/>
      <c r="C9" s="63"/>
      <c r="D9" s="63"/>
      <c r="E9" s="67">
        <f>+'Income Statement (Samba)'!D4/'Income Statement (Samba)'!C4-1</f>
        <v>0.35741951735840294</v>
      </c>
      <c r="F9" s="70">
        <f>+'Income Statement (Samba)'!E4/'Income Statement (Samba)'!D4-1</f>
        <v>0.85270218790396801</v>
      </c>
      <c r="G9" s="70">
        <f>+'Income Statement (Samba)'!F4/'Income Statement (Samba)'!E4-1</f>
        <v>0.30650599546269142</v>
      </c>
      <c r="H9" s="70">
        <f>+'Income Statement (Samba)'!G4/'Income Statement (Samba)'!F4-1</f>
        <v>0.5</v>
      </c>
      <c r="I9" s="70">
        <v>0.46</v>
      </c>
      <c r="J9" s="70">
        <v>0.4</v>
      </c>
      <c r="K9" s="70">
        <v>0.35</v>
      </c>
      <c r="L9" s="70">
        <v>0.3</v>
      </c>
      <c r="M9" s="70">
        <v>0.25</v>
      </c>
      <c r="N9" s="70">
        <v>0.2</v>
      </c>
      <c r="O9" s="70">
        <v>0.15</v>
      </c>
    </row>
    <row r="10" spans="1:15" x14ac:dyDescent="0.35">
      <c r="A10" s="63" t="s">
        <v>118</v>
      </c>
      <c r="B10" s="63"/>
      <c r="C10" s="63"/>
      <c r="D10" s="63"/>
      <c r="E10" s="68"/>
      <c r="F10" s="70">
        <v>0.11600000000000001</v>
      </c>
      <c r="G10" s="70">
        <v>0.11600000000000001</v>
      </c>
      <c r="H10" s="70">
        <v>0.11600000000000001</v>
      </c>
      <c r="I10" s="70">
        <v>0.11600000000000001</v>
      </c>
      <c r="J10" s="70">
        <v>0.11600000000000001</v>
      </c>
      <c r="K10" s="70">
        <v>0.11600000000000001</v>
      </c>
      <c r="L10" s="70">
        <v>0.11600000000000001</v>
      </c>
      <c r="M10" s="70">
        <v>0.11600000000000001</v>
      </c>
      <c r="N10" s="70">
        <v>0.11600000000000001</v>
      </c>
      <c r="O10" s="70">
        <v>0.11600000000000001</v>
      </c>
    </row>
    <row r="11" spans="1:15" x14ac:dyDescent="0.35">
      <c r="A11" s="63" t="s">
        <v>119</v>
      </c>
      <c r="B11" s="63"/>
      <c r="C11" s="63"/>
      <c r="D11" s="63"/>
      <c r="E11" s="65">
        <v>0.56999999999999995</v>
      </c>
      <c r="F11" s="70">
        <v>0.42</v>
      </c>
      <c r="G11" s="70">
        <v>0.43</v>
      </c>
      <c r="H11" s="70">
        <v>0.4</v>
      </c>
      <c r="I11" s="70">
        <v>0.39</v>
      </c>
      <c r="J11" s="70">
        <v>0.37</v>
      </c>
      <c r="K11" s="70">
        <v>0.37</v>
      </c>
      <c r="L11" s="70">
        <v>0.37</v>
      </c>
      <c r="M11" s="70">
        <v>0.37</v>
      </c>
      <c r="N11" s="70">
        <v>0.37</v>
      </c>
      <c r="O11" s="70">
        <v>0.37</v>
      </c>
    </row>
    <row r="12" spans="1:15" hidden="1" x14ac:dyDescent="0.35">
      <c r="A12" s="63" t="s">
        <v>120</v>
      </c>
      <c r="B12" s="63"/>
      <c r="C12" s="63"/>
      <c r="D12" s="63"/>
      <c r="E12" s="65"/>
      <c r="F12" s="71" t="e">
        <f>#REF!</f>
        <v>#REF!</v>
      </c>
      <c r="G12" s="71" t="e">
        <f>#REF!</f>
        <v>#REF!</v>
      </c>
      <c r="H12" s="71" t="e">
        <f>#REF!</f>
        <v>#REF!</v>
      </c>
      <c r="I12" s="71" t="e">
        <f>#REF!</f>
        <v>#REF!</v>
      </c>
      <c r="J12" s="71" t="e">
        <f>#REF!</f>
        <v>#REF!</v>
      </c>
      <c r="K12" s="71" t="e">
        <f>#REF!</f>
        <v>#REF!</v>
      </c>
      <c r="L12" s="71" t="e">
        <f>#REF!</f>
        <v>#REF!</v>
      </c>
      <c r="M12" s="71" t="e">
        <f>#REF!</f>
        <v>#REF!</v>
      </c>
      <c r="N12" s="71" t="e">
        <f>#REF!</f>
        <v>#REF!</v>
      </c>
      <c r="O12" s="71" t="e">
        <f>#REF!</f>
        <v>#REF!</v>
      </c>
    </row>
    <row r="13" spans="1:15" x14ac:dyDescent="0.35">
      <c r="A13" s="63" t="s">
        <v>121</v>
      </c>
      <c r="B13" s="63"/>
      <c r="C13" s="63"/>
      <c r="D13" s="63"/>
      <c r="E13" s="65">
        <v>0.24</v>
      </c>
      <c r="F13" s="70">
        <v>0.39</v>
      </c>
      <c r="G13" s="70">
        <v>0.37</v>
      </c>
      <c r="H13" s="70">
        <v>0.35</v>
      </c>
      <c r="I13" s="70">
        <v>0.35</v>
      </c>
      <c r="J13" s="70">
        <v>0.35</v>
      </c>
      <c r="K13" s="70">
        <v>0.34</v>
      </c>
      <c r="L13" s="70">
        <f>+K13</f>
        <v>0.34</v>
      </c>
      <c r="M13" s="70">
        <f t="shared" ref="M13:O13" si="2">+L13</f>
        <v>0.34</v>
      </c>
      <c r="N13" s="70">
        <f t="shared" si="2"/>
        <v>0.34</v>
      </c>
      <c r="O13" s="70">
        <f t="shared" si="2"/>
        <v>0.34</v>
      </c>
    </row>
    <row r="14" spans="1:15" x14ac:dyDescent="0.35">
      <c r="A14" s="63" t="s">
        <v>23</v>
      </c>
      <c r="B14" s="63"/>
      <c r="C14" s="63"/>
      <c r="D14" s="63"/>
      <c r="E14" s="65">
        <f>('Balance (Samba)'!D30-'Balance (Samba)'!C30)/'Balance (Samba)'!C30</f>
        <v>-0.8145925677683703</v>
      </c>
      <c r="F14" s="70">
        <v>0.05</v>
      </c>
      <c r="G14" s="70">
        <v>0.05</v>
      </c>
      <c r="H14" s="70">
        <v>0.05</v>
      </c>
      <c r="I14" s="70">
        <v>0.05</v>
      </c>
      <c r="J14" s="70">
        <v>0.05</v>
      </c>
      <c r="K14" s="70">
        <v>0.05</v>
      </c>
      <c r="L14" s="70">
        <v>0.05</v>
      </c>
      <c r="M14" s="70">
        <v>0.05</v>
      </c>
      <c r="N14" s="70">
        <v>0.05</v>
      </c>
      <c r="O14" s="70">
        <v>0.05</v>
      </c>
    </row>
    <row r="15" spans="1:15" x14ac:dyDescent="0.35">
      <c r="A15" s="63" t="s">
        <v>122</v>
      </c>
      <c r="B15" s="63"/>
      <c r="C15" s="63"/>
      <c r="D15" s="63"/>
      <c r="E15" s="72">
        <v>5</v>
      </c>
      <c r="F15" s="73">
        <v>15</v>
      </c>
      <c r="G15" s="73">
        <v>15</v>
      </c>
      <c r="H15" s="73">
        <v>15</v>
      </c>
      <c r="I15" s="73">
        <v>15</v>
      </c>
      <c r="J15" s="73">
        <v>15</v>
      </c>
      <c r="K15" s="73">
        <v>15</v>
      </c>
      <c r="L15" s="73">
        <v>15</v>
      </c>
      <c r="M15" s="73">
        <v>15</v>
      </c>
      <c r="N15" s="73">
        <v>15</v>
      </c>
      <c r="O15" s="73">
        <v>15</v>
      </c>
    </row>
    <row r="16" spans="1:15" x14ac:dyDescent="0.35">
      <c r="A16" s="63" t="s">
        <v>123</v>
      </c>
      <c r="B16" s="63"/>
      <c r="C16" s="63"/>
      <c r="D16" s="63"/>
      <c r="E16" s="72">
        <v>80</v>
      </c>
      <c r="F16" s="73">
        <v>46</v>
      </c>
      <c r="G16" s="73">
        <v>46</v>
      </c>
      <c r="H16" s="73">
        <v>46</v>
      </c>
      <c r="I16" s="73">
        <v>46</v>
      </c>
      <c r="J16" s="73">
        <v>46</v>
      </c>
      <c r="K16" s="73">
        <v>46</v>
      </c>
      <c r="L16" s="73">
        <v>46</v>
      </c>
      <c r="M16" s="73">
        <v>46</v>
      </c>
      <c r="N16" s="73">
        <v>46</v>
      </c>
      <c r="O16" s="73">
        <v>46</v>
      </c>
    </row>
    <row r="17" spans="1:15" x14ac:dyDescent="0.35">
      <c r="A17" s="63"/>
      <c r="B17" s="63"/>
      <c r="C17" s="63"/>
      <c r="D17" s="63"/>
      <c r="E17" s="63"/>
      <c r="F17" s="63"/>
      <c r="G17" s="63"/>
      <c r="H17" s="63"/>
      <c r="I17" s="63"/>
      <c r="J17" s="63"/>
    </row>
    <row r="18" spans="1:15" x14ac:dyDescent="0.35">
      <c r="A18" s="62" t="s">
        <v>124</v>
      </c>
      <c r="B18" s="63"/>
      <c r="C18" s="63"/>
      <c r="D18" s="63"/>
      <c r="E18" s="63"/>
      <c r="F18" s="63"/>
      <c r="G18" s="63"/>
      <c r="H18" s="63"/>
      <c r="I18" s="63"/>
      <c r="J18" s="63"/>
    </row>
    <row r="19" spans="1:15" x14ac:dyDescent="0.35">
      <c r="A19" s="63" t="s">
        <v>125</v>
      </c>
      <c r="B19" s="63"/>
      <c r="C19" s="63"/>
      <c r="D19" s="63"/>
      <c r="E19" s="65">
        <v>0</v>
      </c>
      <c r="F19" s="70">
        <v>0.16669999999999999</v>
      </c>
      <c r="G19" s="70">
        <v>0.16669999999999999</v>
      </c>
      <c r="H19" s="70">
        <v>0.16669999999999999</v>
      </c>
      <c r="I19" s="70">
        <v>0.16700000000000001</v>
      </c>
      <c r="J19" s="70">
        <v>0.16700000000000001</v>
      </c>
      <c r="K19" s="70">
        <v>0.16700000000000001</v>
      </c>
      <c r="L19" s="70">
        <v>0.16700000000000001</v>
      </c>
      <c r="M19" s="70">
        <v>0.16669999999999999</v>
      </c>
      <c r="N19" s="70">
        <v>0.16669999999999999</v>
      </c>
      <c r="O19" s="70">
        <v>0.16669999999999999</v>
      </c>
    </row>
    <row r="20" spans="1:15" x14ac:dyDescent="0.35">
      <c r="A20" s="63" t="s">
        <v>65</v>
      </c>
      <c r="B20" s="63"/>
      <c r="C20" s="63"/>
      <c r="D20" s="63"/>
      <c r="E20" s="65">
        <f>('Balance (Samba)'!D4-'Balance (Samba)'!C4)/'Balance (Samba)'!C4</f>
        <v>-0.24050478653541493</v>
      </c>
      <c r="F20" s="70">
        <v>0.06</v>
      </c>
      <c r="G20" s="70">
        <v>0.09</v>
      </c>
      <c r="H20" s="70">
        <v>0.08</v>
      </c>
      <c r="I20" s="70">
        <v>0.05</v>
      </c>
      <c r="J20" s="70">
        <v>0.05</v>
      </c>
      <c r="K20" s="70">
        <v>0.05</v>
      </c>
      <c r="L20" s="70">
        <v>0.05</v>
      </c>
      <c r="M20" s="70">
        <v>0.05</v>
      </c>
      <c r="N20" s="70">
        <v>0.05</v>
      </c>
      <c r="O20" s="70">
        <v>0.05</v>
      </c>
    </row>
    <row r="21" spans="1:15" x14ac:dyDescent="0.35">
      <c r="A21" s="63"/>
      <c r="B21" s="63"/>
      <c r="C21" s="63"/>
      <c r="D21" s="63"/>
      <c r="E21" s="63"/>
      <c r="F21" s="63"/>
      <c r="G21" s="63"/>
      <c r="H21" s="63"/>
      <c r="I21" s="63"/>
      <c r="J21" s="63"/>
    </row>
    <row r="22" spans="1:15" x14ac:dyDescent="0.35">
      <c r="A22" s="62" t="s">
        <v>126</v>
      </c>
      <c r="B22" s="63"/>
      <c r="C22" s="63"/>
      <c r="D22" s="63"/>
      <c r="E22" s="63"/>
      <c r="F22" s="63"/>
      <c r="G22" s="63"/>
      <c r="H22" s="63"/>
      <c r="I22" s="63"/>
      <c r="J22" s="63"/>
    </row>
    <row r="23" spans="1:15" x14ac:dyDescent="0.35">
      <c r="A23" s="63" t="s">
        <v>127</v>
      </c>
      <c r="B23" s="63"/>
      <c r="C23" s="63"/>
      <c r="D23" s="63"/>
      <c r="E23" s="65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</row>
    <row r="24" spans="1:15" x14ac:dyDescent="0.35">
      <c r="A24" s="63" t="s">
        <v>128</v>
      </c>
      <c r="B24" s="63"/>
      <c r="C24" s="63"/>
      <c r="D24" s="63"/>
      <c r="E24" s="65">
        <v>0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</row>
    <row r="25" spans="1:15" x14ac:dyDescent="0.35">
      <c r="A25" s="63" t="s">
        <v>129</v>
      </c>
      <c r="B25" s="63"/>
      <c r="C25" s="63"/>
      <c r="D25" s="63"/>
      <c r="E25" s="65">
        <v>0</v>
      </c>
      <c r="F25" s="70">
        <v>0</v>
      </c>
      <c r="G25" s="70">
        <v>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</row>
    <row r="26" spans="1:15" x14ac:dyDescent="0.35">
      <c r="A26" s="63" t="s">
        <v>130</v>
      </c>
      <c r="B26" s="63"/>
      <c r="C26" s="63"/>
      <c r="D26" s="63"/>
      <c r="E26" s="65">
        <v>0</v>
      </c>
      <c r="F26" s="70">
        <v>0</v>
      </c>
      <c r="G26" s="70">
        <v>0</v>
      </c>
      <c r="H26" s="70">
        <f>G26</f>
        <v>0</v>
      </c>
      <c r="I26" s="70">
        <f>H26</f>
        <v>0</v>
      </c>
      <c r="J26" s="70">
        <f>I26</f>
        <v>0</v>
      </c>
      <c r="K26" s="70">
        <v>0</v>
      </c>
      <c r="L26" s="70">
        <v>0</v>
      </c>
      <c r="M26" s="70">
        <f>L26</f>
        <v>0</v>
      </c>
      <c r="N26" s="70">
        <f>M26</f>
        <v>0</v>
      </c>
      <c r="O26" s="70">
        <f>N26</f>
        <v>0</v>
      </c>
    </row>
    <row r="27" spans="1:15" x14ac:dyDescent="0.35">
      <c r="A27" s="63"/>
      <c r="B27" s="63"/>
      <c r="C27" s="63"/>
      <c r="D27" s="63"/>
      <c r="E27" s="63"/>
      <c r="F27" s="63"/>
      <c r="G27" s="63"/>
      <c r="H27" s="63"/>
      <c r="I27" s="63"/>
      <c r="J27" s="63"/>
    </row>
    <row r="28" spans="1:15" x14ac:dyDescent="0.35">
      <c r="A28" s="62" t="s">
        <v>131</v>
      </c>
      <c r="B28" s="63"/>
      <c r="C28" s="63"/>
      <c r="D28" s="63"/>
      <c r="E28" s="63"/>
      <c r="F28" s="63"/>
      <c r="G28" s="63"/>
      <c r="H28" s="63"/>
      <c r="I28" s="63"/>
      <c r="J28" s="63"/>
    </row>
    <row r="29" spans="1:15" x14ac:dyDescent="0.35">
      <c r="A29" s="63" t="s">
        <v>132</v>
      </c>
      <c r="B29" s="63"/>
      <c r="C29" s="63"/>
      <c r="D29" s="63"/>
      <c r="E29" s="65">
        <v>0</v>
      </c>
      <c r="F29" s="70">
        <v>0</v>
      </c>
      <c r="G29" s="70">
        <v>0</v>
      </c>
      <c r="H29" s="70">
        <v>0</v>
      </c>
      <c r="I29" s="70">
        <v>0</v>
      </c>
      <c r="J29" s="70">
        <v>0</v>
      </c>
      <c r="K29" s="70">
        <v>0</v>
      </c>
      <c r="L29" s="70">
        <v>0</v>
      </c>
      <c r="M29" s="70">
        <v>0</v>
      </c>
      <c r="N29" s="70">
        <v>0</v>
      </c>
      <c r="O29" s="70">
        <v>0</v>
      </c>
    </row>
    <row r="30" spans="1:15" x14ac:dyDescent="0.35">
      <c r="A30" s="63" t="s">
        <v>71</v>
      </c>
      <c r="B30" s="63"/>
      <c r="C30" s="63"/>
      <c r="D30" s="63"/>
      <c r="E30" s="65">
        <v>6.2E-2</v>
      </c>
      <c r="F30" s="70">
        <v>6.2E-2</v>
      </c>
      <c r="G30" s="70">
        <f t="shared" ref="G30:O30" si="3">F30</f>
        <v>6.2E-2</v>
      </c>
      <c r="H30" s="70">
        <f t="shared" si="3"/>
        <v>6.2E-2</v>
      </c>
      <c r="I30" s="70">
        <f t="shared" si="3"/>
        <v>6.2E-2</v>
      </c>
      <c r="J30" s="70">
        <f t="shared" si="3"/>
        <v>6.2E-2</v>
      </c>
      <c r="K30" s="70">
        <f t="shared" si="3"/>
        <v>6.2E-2</v>
      </c>
      <c r="L30" s="70">
        <f t="shared" si="3"/>
        <v>6.2E-2</v>
      </c>
      <c r="M30" s="70">
        <f t="shared" si="3"/>
        <v>6.2E-2</v>
      </c>
      <c r="N30" s="70">
        <f t="shared" si="3"/>
        <v>6.2E-2</v>
      </c>
      <c r="O30" s="70">
        <f t="shared" si="3"/>
        <v>6.2E-2</v>
      </c>
    </row>
    <row r="31" spans="1:15" x14ac:dyDescent="0.35">
      <c r="A31" s="63" t="s">
        <v>133</v>
      </c>
      <c r="E31" s="74">
        <v>0.83</v>
      </c>
      <c r="F31" s="75">
        <v>0.83</v>
      </c>
      <c r="G31" s="75">
        <v>0.83</v>
      </c>
      <c r="H31" s="75">
        <v>0.83</v>
      </c>
      <c r="I31" s="75">
        <v>0.83</v>
      </c>
      <c r="J31" s="75">
        <v>0.83</v>
      </c>
      <c r="K31" s="75">
        <v>0.83</v>
      </c>
      <c r="L31" s="75">
        <v>0.83</v>
      </c>
      <c r="M31" s="75">
        <v>0.83</v>
      </c>
      <c r="N31" s="75">
        <v>0.83</v>
      </c>
      <c r="O31" s="75">
        <v>0.83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B06CB-4CE6-41B7-9EF3-283976E70C9D}">
  <dimension ref="A1"/>
  <sheetViews>
    <sheetView workbookViewId="0">
      <selection activeCell="K30" sqref="K30"/>
    </sheetView>
  </sheetViews>
  <sheetFormatPr baseColWidth="10" defaultColWidth="8.83203125" defaultRowHeight="15.5" x14ac:dyDescent="0.35"/>
  <cols>
    <col min="16" max="16" width="10.83203125" bestFit="1" customWidth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5699F-96EA-4510-BE34-260A11F8619D}">
  <dimension ref="B2:XFD102"/>
  <sheetViews>
    <sheetView showGridLines="0" workbookViewId="0">
      <selection activeCell="G98" sqref="G98"/>
    </sheetView>
  </sheetViews>
  <sheetFormatPr baseColWidth="10" defaultColWidth="10.58203125" defaultRowHeight="13" x14ac:dyDescent="0.3"/>
  <cols>
    <col min="1" max="1" width="4" style="1" customWidth="1"/>
    <col min="2" max="2" width="32.58203125" style="1" bestFit="1" customWidth="1"/>
    <col min="3" max="5" width="9.58203125" style="1" bestFit="1" customWidth="1"/>
    <col min="6" max="6" width="10.08203125" style="1" bestFit="1" customWidth="1"/>
    <col min="7" max="7" width="10.5" style="1" bestFit="1" customWidth="1"/>
    <col min="8" max="8" width="10.83203125" style="1" bestFit="1" customWidth="1"/>
    <col min="9" max="9" width="10.58203125" style="1" bestFit="1" customWidth="1"/>
    <col min="10" max="10" width="13.5" style="1" customWidth="1"/>
    <col min="11" max="11" width="10.58203125" style="1" bestFit="1" customWidth="1"/>
    <col min="12" max="12" width="10.5" style="1" bestFit="1" customWidth="1"/>
    <col min="13" max="13" width="10.58203125" style="1" bestFit="1" customWidth="1"/>
    <col min="14" max="14" width="10.5" style="1" bestFit="1" customWidth="1"/>
    <col min="15" max="15" width="10.08203125" style="1" bestFit="1" customWidth="1"/>
    <col min="16" max="22" width="9.5" style="1" bestFit="1" customWidth="1"/>
    <col min="23" max="16384" width="10.58203125" style="1"/>
  </cols>
  <sheetData>
    <row r="2" spans="2:22 16384:16384" hidden="1" x14ac:dyDescent="0.3">
      <c r="C2" s="1">
        <v>1</v>
      </c>
      <c r="D2" s="1">
        <v>2</v>
      </c>
      <c r="E2" s="1">
        <v>3</v>
      </c>
      <c r="F2" s="1">
        <v>4</v>
      </c>
      <c r="G2" s="1">
        <v>5</v>
      </c>
      <c r="H2" s="1">
        <v>6</v>
      </c>
      <c r="I2" s="1">
        <v>7</v>
      </c>
      <c r="J2" s="1">
        <v>8</v>
      </c>
      <c r="K2" s="1">
        <v>9</v>
      </c>
      <c r="L2" s="1">
        <v>10</v>
      </c>
      <c r="M2" s="1">
        <v>11</v>
      </c>
      <c r="N2" s="1">
        <v>12</v>
      </c>
      <c r="O2" s="1">
        <v>13</v>
      </c>
      <c r="P2" s="1">
        <v>14</v>
      </c>
      <c r="Q2" s="1">
        <v>15</v>
      </c>
      <c r="R2" s="1">
        <v>16</v>
      </c>
      <c r="S2" s="1">
        <v>17</v>
      </c>
      <c r="T2" s="1">
        <v>18</v>
      </c>
      <c r="U2" s="1">
        <v>19</v>
      </c>
      <c r="V2" s="1">
        <v>20</v>
      </c>
    </row>
    <row r="3" spans="2:22 16384:16384" x14ac:dyDescent="0.3">
      <c r="B3" s="2" t="s">
        <v>28</v>
      </c>
      <c r="C3" s="2">
        <v>2023</v>
      </c>
      <c r="D3" s="2">
        <f>C3+1</f>
        <v>2024</v>
      </c>
      <c r="E3" s="2">
        <f t="shared" ref="E3:V3" si="0">D3+1</f>
        <v>2025</v>
      </c>
      <c r="F3" s="2">
        <f t="shared" si="0"/>
        <v>2026</v>
      </c>
      <c r="G3" s="2">
        <f t="shared" si="0"/>
        <v>2027</v>
      </c>
      <c r="H3" s="2">
        <f t="shared" si="0"/>
        <v>2028</v>
      </c>
      <c r="I3" s="2">
        <f t="shared" si="0"/>
        <v>2029</v>
      </c>
      <c r="J3" s="2">
        <f t="shared" si="0"/>
        <v>2030</v>
      </c>
      <c r="K3" s="2">
        <f t="shared" si="0"/>
        <v>2031</v>
      </c>
      <c r="L3" s="2">
        <f t="shared" si="0"/>
        <v>2032</v>
      </c>
      <c r="M3" s="2">
        <f t="shared" si="0"/>
        <v>2033</v>
      </c>
      <c r="N3" s="2">
        <f t="shared" si="0"/>
        <v>2034</v>
      </c>
      <c r="O3" s="2">
        <f t="shared" si="0"/>
        <v>2035</v>
      </c>
      <c r="P3" s="2">
        <f t="shared" si="0"/>
        <v>2036</v>
      </c>
      <c r="Q3" s="2">
        <f t="shared" si="0"/>
        <v>2037</v>
      </c>
      <c r="R3" s="2">
        <f t="shared" si="0"/>
        <v>2038</v>
      </c>
      <c r="S3" s="2">
        <f t="shared" si="0"/>
        <v>2039</v>
      </c>
      <c r="T3" s="2">
        <f t="shared" si="0"/>
        <v>2040</v>
      </c>
      <c r="U3" s="2">
        <f t="shared" si="0"/>
        <v>2041</v>
      </c>
      <c r="V3" s="2">
        <f t="shared" si="0"/>
        <v>2042</v>
      </c>
    </row>
    <row r="4" spans="2:22 16384:16384" x14ac:dyDescent="0.3">
      <c r="B4" s="4" t="s">
        <v>29</v>
      </c>
      <c r="C4" s="5">
        <v>5548801.9699999997</v>
      </c>
      <c r="D4" s="5">
        <f>C4*('Assumptions (C&amp;C)'!F9+1)</f>
        <v>9710403.4474999998</v>
      </c>
      <c r="E4" s="5">
        <f>D4*('Assumptions (C&amp;C)'!G9+1)</f>
        <v>12623524.48175</v>
      </c>
      <c r="F4" s="5">
        <f>E4*('Assumptions (C&amp;C)'!H9+1)</f>
        <v>16410581.826275</v>
      </c>
      <c r="G4" s="5">
        <f>F4*('Assumptions (C&amp;C)'!I9+1)</f>
        <v>21333756.3741575</v>
      </c>
      <c r="H4" s="5">
        <f>G4*('Assumptions (C&amp;C)'!J9+1)</f>
        <v>27733883.286404751</v>
      </c>
      <c r="I4" s="5">
        <f>H4*('Assumptions (C&amp;C)'!K9+1)</f>
        <v>33280659.943685699</v>
      </c>
      <c r="J4" s="5">
        <f>I4*('Assumptions (C&amp;C)'!L9+1)</f>
        <v>37440742.436646409</v>
      </c>
      <c r="K4" s="5">
        <f>J4*('Assumptions (C&amp;C)'!M9+1)</f>
        <v>41184816.680311054</v>
      </c>
      <c r="L4" s="5">
        <f>K4*('Assumptions (C&amp;C)'!N9+1)</f>
        <v>45303298.348342165</v>
      </c>
      <c r="M4" s="5">
        <f>L4*('Assumptions (C&amp;C)'!O9+1)</f>
        <v>48701045.724467829</v>
      </c>
      <c r="N4" s="5">
        <f>M4*('Assumptions (C&amp;C)'!P9+1)</f>
        <v>52353624.153802916</v>
      </c>
      <c r="O4" s="5"/>
      <c r="P4" s="5"/>
      <c r="Q4" s="5"/>
      <c r="R4" s="5"/>
      <c r="S4" s="5"/>
      <c r="T4" s="5"/>
      <c r="U4" s="5"/>
      <c r="V4" s="5"/>
    </row>
    <row r="5" spans="2:22 16384:16384" x14ac:dyDescent="0.3">
      <c r="B5" s="4" t="s">
        <v>30</v>
      </c>
      <c r="C5" s="5">
        <v>4028865.27</v>
      </c>
      <c r="D5" s="5">
        <f>D4*'Assumptions (C&amp;C)'!F11</f>
        <v>7477010.6545749996</v>
      </c>
      <c r="E5" s="5">
        <f>E4*'Assumptions (C&amp;C)'!G11</f>
        <v>9593878.6061300002</v>
      </c>
      <c r="F5" s="5">
        <f>F4*'Assumptions (C&amp;C)'!H11</f>
        <v>12307936.369706251</v>
      </c>
      <c r="G5" s="5">
        <f>G4*'Assumptions (C&amp;C)'!I11</f>
        <v>15786979.71687655</v>
      </c>
      <c r="H5" s="5">
        <f>H4*'Assumptions (C&amp;C)'!J11</f>
        <v>20245734.799075469</v>
      </c>
      <c r="I5" s="5">
        <f>I4*'Assumptions (C&amp;C)'!K11</f>
        <v>23962075.159453701</v>
      </c>
      <c r="J5" s="5">
        <f>J4*'Assumptions (C&amp;C)'!L11</f>
        <v>26582927.13001895</v>
      </c>
      <c r="K5" s="5">
        <f>K4*'Assumptions (C&amp;C)'!M11</f>
        <v>28829371.676217735</v>
      </c>
      <c r="L5" s="5">
        <f>L4*'Assumptions (C&amp;C)'!N11</f>
        <v>31712308.843839515</v>
      </c>
      <c r="M5" s="5">
        <f>M4*'Assumptions (C&amp;C)'!O11</f>
        <v>34090732.007127479</v>
      </c>
      <c r="N5" s="5">
        <f>N4*'Assumptions (C&amp;C)'!P11</f>
        <v>36647536.907662041</v>
      </c>
      <c r="O5" s="5"/>
      <c r="P5" s="5"/>
      <c r="Q5" s="5"/>
      <c r="R5" s="5"/>
      <c r="S5" s="5"/>
      <c r="T5" s="5"/>
      <c r="U5" s="5"/>
      <c r="V5" s="5"/>
    </row>
    <row r="6" spans="2:22 16384:16384" x14ac:dyDescent="0.3">
      <c r="B6" s="4" t="s">
        <v>135</v>
      </c>
      <c r="C6" s="5">
        <v>32442.880000000001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/>
      <c r="P6" s="16"/>
      <c r="Q6" s="5"/>
      <c r="R6" s="5"/>
      <c r="S6" s="5"/>
      <c r="T6" s="5"/>
      <c r="U6" s="5"/>
      <c r="V6" s="5"/>
    </row>
    <row r="7" spans="2:22 16384:16384" x14ac:dyDescent="0.3">
      <c r="B7" s="4" t="s">
        <v>32</v>
      </c>
      <c r="C7" s="5">
        <v>2346.48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/>
      <c r="P7" s="5"/>
      <c r="Q7" s="5"/>
      <c r="R7" s="5"/>
      <c r="S7" s="5"/>
      <c r="T7" s="5"/>
      <c r="U7" s="5"/>
      <c r="V7" s="5"/>
    </row>
    <row r="8" spans="2:22 16384:16384" ht="3" customHeight="1" x14ac:dyDescent="0.3"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2:22 16384:16384" x14ac:dyDescent="0.3">
      <c r="B9" s="17" t="s">
        <v>33</v>
      </c>
      <c r="C9" s="18">
        <f>C4-C5+C6-C7</f>
        <v>1550033.0999999996</v>
      </c>
      <c r="D9" s="18">
        <f t="shared" ref="D9:N9" si="1">D4-D5+D6-D7</f>
        <v>2233392.7929250002</v>
      </c>
      <c r="E9" s="18">
        <f t="shared" si="1"/>
        <v>3029645.8756200001</v>
      </c>
      <c r="F9" s="18">
        <f t="shared" si="1"/>
        <v>4102645.4565687496</v>
      </c>
      <c r="G9" s="18">
        <f t="shared" ref="G9:M9" si="2">G4-G5+G6-G7</f>
        <v>5546776.6572809499</v>
      </c>
      <c r="H9" s="18">
        <f t="shared" si="2"/>
        <v>7488148.4873292819</v>
      </c>
      <c r="I9" s="18">
        <f t="shared" si="2"/>
        <v>9318584.784231998</v>
      </c>
      <c r="J9" s="18">
        <f t="shared" si="2"/>
        <v>10857815.30662746</v>
      </c>
      <c r="K9" s="18">
        <f t="shared" si="2"/>
        <v>12355445.004093319</v>
      </c>
      <c r="L9" s="18">
        <f t="shared" si="2"/>
        <v>13590989.50450265</v>
      </c>
      <c r="M9" s="18">
        <f t="shared" si="2"/>
        <v>14610313.71734035</v>
      </c>
      <c r="N9" s="18">
        <f t="shared" si="1"/>
        <v>15706087.246140875</v>
      </c>
      <c r="O9" s="18"/>
      <c r="P9" s="18"/>
      <c r="Q9" s="18"/>
      <c r="R9" s="18"/>
      <c r="S9" s="18"/>
      <c r="T9" s="18"/>
      <c r="U9" s="18"/>
      <c r="V9" s="18"/>
      <c r="XFD9" s="7"/>
    </row>
    <row r="10" spans="2:22 16384:16384" x14ac:dyDescent="0.3">
      <c r="B10" s="4" t="s">
        <v>3</v>
      </c>
      <c r="C10" s="5">
        <v>0</v>
      </c>
      <c r="D10" s="5">
        <f>-'Intangibles and Deprec. (C&amp;C)'!F18</f>
        <v>284860.29483950004</v>
      </c>
      <c r="E10" s="5">
        <f>-'Intangibles and Deprec. (C&amp;C)'!G18</f>
        <v>365942.16362612508</v>
      </c>
      <c r="F10" s="5">
        <f>-'Intangibles and Deprec. (C&amp;C)'!H18</f>
        <v>471348.59304873762</v>
      </c>
      <c r="G10" s="5">
        <f>-'Intangibles and Deprec. (C&amp;C)'!I18</f>
        <v>608130.79257073975</v>
      </c>
      <c r="H10" s="5">
        <f>-'Intangibles and Deprec. (C&amp;C)'!J18</f>
        <v>785947.65194934246</v>
      </c>
      <c r="I10" s="5">
        <f>-'Intangibles and Deprec. (C&amp;C)'!K18</f>
        <v>1014252.9488015259</v>
      </c>
      <c r="J10" s="5">
        <f>-'Intangibles and Deprec. (C&amp;C)'!L18</f>
        <v>1008672.5345878962</v>
      </c>
      <c r="K10" s="5">
        <f>-'Intangibles and Deprec. (C&amp;C)'!M18</f>
        <v>1239367.9419072941</v>
      </c>
      <c r="L10" s="5">
        <f>-'Intangibles and Deprec. (C&amp;C)'!N18</f>
        <v>1478335.2061449864</v>
      </c>
      <c r="M10" s="5">
        <f>-'Intangibles and Deprec. (C&amp;C)'!O18</f>
        <v>1341503.7748775056</v>
      </c>
      <c r="N10" s="5">
        <f>-'Intangibles and Deprec. (C&amp;C)'!P18</f>
        <v>1163622.9142297804</v>
      </c>
      <c r="O10" s="5"/>
      <c r="P10" s="5"/>
      <c r="Q10" s="5"/>
      <c r="R10" s="5"/>
      <c r="S10" s="5"/>
      <c r="T10" s="5"/>
      <c r="U10" s="5"/>
      <c r="V10" s="5"/>
    </row>
    <row r="11" spans="2:22 16384:16384" ht="3" customHeight="1" x14ac:dyDescent="0.3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22 16384:16384" x14ac:dyDescent="0.3">
      <c r="B12" s="17" t="s">
        <v>34</v>
      </c>
      <c r="C12" s="18">
        <f>+C9-C10</f>
        <v>1550033.0999999996</v>
      </c>
      <c r="D12" s="18">
        <f>+D9-D10</f>
        <v>1948532.4980855002</v>
      </c>
      <c r="E12" s="18">
        <f>+E9-E10</f>
        <v>2663703.711993875</v>
      </c>
      <c r="F12" s="18">
        <f>+F9-F10</f>
        <v>3631296.8635200122</v>
      </c>
      <c r="G12" s="18">
        <f>+G9-G10</f>
        <v>4938645.8647102099</v>
      </c>
      <c r="H12" s="18">
        <f t="shared" ref="H12:N12" si="3">+H9-H10</f>
        <v>6702200.8353799395</v>
      </c>
      <c r="I12" s="18">
        <f t="shared" si="3"/>
        <v>8304331.8354304722</v>
      </c>
      <c r="J12" s="18">
        <f t="shared" si="3"/>
        <v>9849142.7720395643</v>
      </c>
      <c r="K12" s="18">
        <f t="shared" si="3"/>
        <v>11116077.062186025</v>
      </c>
      <c r="L12" s="18">
        <f t="shared" si="3"/>
        <v>12112654.298357664</v>
      </c>
      <c r="M12" s="18">
        <f t="shared" si="3"/>
        <v>13268809.942462845</v>
      </c>
      <c r="N12" s="18">
        <f t="shared" si="3"/>
        <v>14542464.331911094</v>
      </c>
      <c r="O12" s="18"/>
      <c r="P12" s="18"/>
      <c r="Q12" s="18"/>
      <c r="R12" s="18"/>
      <c r="S12" s="18"/>
      <c r="T12" s="18"/>
      <c r="U12" s="18"/>
      <c r="V12" s="18"/>
    </row>
    <row r="13" spans="2:22 16384:16384" x14ac:dyDescent="0.3">
      <c r="B13" s="4" t="s">
        <v>136</v>
      </c>
      <c r="C13" s="5">
        <v>7721.17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/>
      <c r="P13" s="5"/>
      <c r="Q13" s="5"/>
      <c r="R13" s="5"/>
      <c r="S13" s="5"/>
      <c r="T13" s="5"/>
      <c r="U13" s="5"/>
      <c r="V13" s="5"/>
    </row>
    <row r="14" spans="2:22 16384:16384" ht="3" customHeight="1" x14ac:dyDescent="0.3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2:22 16384:16384" x14ac:dyDescent="0.3">
      <c r="B15" s="17" t="s">
        <v>36</v>
      </c>
      <c r="C15" s="18">
        <f>+C12+C13</f>
        <v>1557754.2699999996</v>
      </c>
      <c r="D15" s="18">
        <f>+D12-D13</f>
        <v>1948532.4980855002</v>
      </c>
      <c r="E15" s="18">
        <f>+E12-E13</f>
        <v>2663703.711993875</v>
      </c>
      <c r="F15" s="18">
        <f>+F12-F13</f>
        <v>3631296.8635200122</v>
      </c>
      <c r="G15" s="18">
        <f>+G12-G13</f>
        <v>4938645.8647102099</v>
      </c>
      <c r="H15" s="18">
        <f t="shared" ref="H15:N15" si="4">+H12-H13</f>
        <v>6702200.8353799395</v>
      </c>
      <c r="I15" s="18">
        <f t="shared" si="4"/>
        <v>8304331.8354304722</v>
      </c>
      <c r="J15" s="18">
        <f t="shared" si="4"/>
        <v>9849142.7720395643</v>
      </c>
      <c r="K15" s="18">
        <f t="shared" si="4"/>
        <v>11116077.062186025</v>
      </c>
      <c r="L15" s="18">
        <f t="shared" si="4"/>
        <v>12112654.298357664</v>
      </c>
      <c r="M15" s="18">
        <f t="shared" si="4"/>
        <v>13268809.942462845</v>
      </c>
      <c r="N15" s="18">
        <f t="shared" si="4"/>
        <v>14542464.331911094</v>
      </c>
      <c r="O15" s="18"/>
      <c r="P15" s="18"/>
      <c r="Q15" s="18"/>
      <c r="R15" s="18"/>
      <c r="S15" s="18"/>
      <c r="T15" s="18"/>
      <c r="U15" s="18"/>
      <c r="V15" s="18"/>
    </row>
    <row r="16" spans="2:22 16384:16384" x14ac:dyDescent="0.3">
      <c r="B16" s="4" t="s">
        <v>37</v>
      </c>
      <c r="C16" s="5">
        <v>328548.96999999997</v>
      </c>
      <c r="D16" s="5">
        <f>D15*'Assumptions (C&amp;C)'!F5</f>
        <v>409191.82459795504</v>
      </c>
      <c r="E16" s="5">
        <f>E15*'Assumptions (C&amp;C)'!G5</f>
        <v>559377.77951871371</v>
      </c>
      <c r="F16" s="5">
        <f>F15*'Assumptions (C&amp;C)'!H5</f>
        <v>762572.3413392026</v>
      </c>
      <c r="G16" s="5">
        <f>G15*'Assumptions (C&amp;C)'!I5</f>
        <v>1037115.631589144</v>
      </c>
      <c r="H16" s="5">
        <f>H15*'Assumptions (C&amp;C)'!J5</f>
        <v>1407462.1754297873</v>
      </c>
      <c r="I16" s="5">
        <f>I15*'Assumptions (C&amp;C)'!K5</f>
        <v>1743909.685440399</v>
      </c>
      <c r="J16" s="5">
        <f>J15*'Assumptions (C&amp;C)'!L5</f>
        <v>2068319.9821283084</v>
      </c>
      <c r="K16" s="5">
        <f>K15*'Assumptions (C&amp;C)'!M5</f>
        <v>2334376.1830590651</v>
      </c>
      <c r="L16" s="5">
        <f>L15*'Assumptions (C&amp;C)'!N5</f>
        <v>2543657.4026551093</v>
      </c>
      <c r="M16" s="5">
        <f>M15*'Assumptions (C&amp;C)'!O5</f>
        <v>2786450.0879171975</v>
      </c>
      <c r="N16" s="5">
        <f>N15*'Assumptions (C&amp;C)'!P5</f>
        <v>3053917.5097013297</v>
      </c>
      <c r="O16" s="5"/>
      <c r="P16" s="5"/>
      <c r="Q16" s="5"/>
      <c r="R16" s="5"/>
      <c r="S16" s="5"/>
      <c r="T16" s="5"/>
      <c r="U16" s="5"/>
      <c r="V16" s="5"/>
    </row>
    <row r="17" spans="2:22" ht="3" customHeight="1" x14ac:dyDescent="0.3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2:22" ht="13.5" thickBot="1" x14ac:dyDescent="0.35">
      <c r="B18" s="8" t="s">
        <v>38</v>
      </c>
      <c r="C18" s="9">
        <f>+C15-C16</f>
        <v>1229205.2999999996</v>
      </c>
      <c r="D18" s="9">
        <f>+D15-D16</f>
        <v>1539340.6734875452</v>
      </c>
      <c r="E18" s="9">
        <f>+E15-E16</f>
        <v>2104325.9324751613</v>
      </c>
      <c r="F18" s="9">
        <f>+F15-F16</f>
        <v>2868724.5221808096</v>
      </c>
      <c r="G18" s="9">
        <f>+G15-G16</f>
        <v>3901530.2331210659</v>
      </c>
      <c r="H18" s="9">
        <f t="shared" ref="H18:N18" si="5">+H15-H16</f>
        <v>5294738.659950152</v>
      </c>
      <c r="I18" s="9">
        <f t="shared" si="5"/>
        <v>6560422.1499900734</v>
      </c>
      <c r="J18" s="9">
        <f t="shared" si="5"/>
        <v>7780822.7899112562</v>
      </c>
      <c r="K18" s="9">
        <f t="shared" si="5"/>
        <v>8781700.8791269604</v>
      </c>
      <c r="L18" s="9">
        <f t="shared" si="5"/>
        <v>9568996.8957025539</v>
      </c>
      <c r="M18" s="9">
        <f t="shared" si="5"/>
        <v>10482359.854545647</v>
      </c>
      <c r="N18" s="9">
        <f t="shared" si="5"/>
        <v>11488546.822209764</v>
      </c>
      <c r="O18" s="9"/>
      <c r="P18" s="9"/>
      <c r="Q18" s="9"/>
      <c r="R18" s="9"/>
      <c r="S18" s="9"/>
      <c r="T18" s="9"/>
      <c r="U18" s="9"/>
      <c r="V18" s="9"/>
    </row>
    <row r="19" spans="2:22" ht="13.5" thickTop="1" x14ac:dyDescent="0.3"/>
    <row r="20" spans="2:22" x14ac:dyDescent="0.3">
      <c r="C20" s="7"/>
      <c r="D20" s="7"/>
    </row>
    <row r="21" spans="2:22" x14ac:dyDescent="0.3">
      <c r="B21" s="1" t="s">
        <v>39</v>
      </c>
      <c r="C21" s="19">
        <v>0.02</v>
      </c>
      <c r="H21" s="7"/>
    </row>
    <row r="22" spans="2:22" x14ac:dyDescent="0.3">
      <c r="H22" s="7"/>
    </row>
    <row r="23" spans="2:22" hidden="1" x14ac:dyDescent="0.3">
      <c r="B23" s="1" t="s">
        <v>40</v>
      </c>
      <c r="C23" s="7"/>
    </row>
    <row r="24" spans="2:22" hidden="1" x14ac:dyDescent="0.3">
      <c r="B24" s="1" t="s">
        <v>41</v>
      </c>
      <c r="C24" s="1">
        <v>20</v>
      </c>
    </row>
    <row r="25" spans="2:22" hidden="1" x14ac:dyDescent="0.3">
      <c r="B25" s="1" t="s">
        <v>42</v>
      </c>
      <c r="C25" s="7">
        <f>+C23/C24</f>
        <v>0</v>
      </c>
      <c r="D25" s="7"/>
    </row>
    <row r="26" spans="2:22" hidden="1" x14ac:dyDescent="0.3"/>
    <row r="27" spans="2:22" hidden="1" x14ac:dyDescent="0.3">
      <c r="B27" s="20" t="s">
        <v>43</v>
      </c>
      <c r="C27" s="21">
        <f>+C23*25%</f>
        <v>0</v>
      </c>
    </row>
    <row r="28" spans="2:22" hidden="1" x14ac:dyDescent="0.3">
      <c r="H28" s="7"/>
    </row>
    <row r="29" spans="2:22" hidden="1" x14ac:dyDescent="0.3">
      <c r="B29" s="20" t="s">
        <v>44</v>
      </c>
      <c r="C29" s="21">
        <f>+C23-C27-C44</f>
        <v>0</v>
      </c>
    </row>
    <row r="30" spans="2:22" hidden="1" x14ac:dyDescent="0.3">
      <c r="B30" s="1" t="s">
        <v>45</v>
      </c>
      <c r="C30" s="19">
        <v>0.04</v>
      </c>
    </row>
    <row r="31" spans="2:22" hidden="1" x14ac:dyDescent="0.3">
      <c r="B31" s="1" t="s">
        <v>46</v>
      </c>
      <c r="C31" s="1">
        <v>12</v>
      </c>
    </row>
    <row r="32" spans="2:22" hidden="1" x14ac:dyDescent="0.3"/>
    <row r="33" spans="2:18" hidden="1" x14ac:dyDescent="0.3">
      <c r="B33" s="1" t="s">
        <v>47</v>
      </c>
      <c r="C33" s="7">
        <f>C29/((1-(1+0.04)^(-12))/0.04)</f>
        <v>0</v>
      </c>
    </row>
    <row r="34" spans="2:18" hidden="1" x14ac:dyDescent="0.3"/>
    <row r="35" spans="2:18" hidden="1" x14ac:dyDescent="0.3">
      <c r="B35" s="1" t="s">
        <v>48</v>
      </c>
      <c r="C35" s="7">
        <f>+C33</f>
        <v>0</v>
      </c>
      <c r="D35" s="7">
        <f t="shared" ref="D35:N35" si="6">+C35</f>
        <v>0</v>
      </c>
      <c r="E35" s="7">
        <f t="shared" si="6"/>
        <v>0</v>
      </c>
      <c r="F35" s="7">
        <f t="shared" si="6"/>
        <v>0</v>
      </c>
      <c r="G35" s="7">
        <f t="shared" si="6"/>
        <v>0</v>
      </c>
      <c r="H35" s="7">
        <f t="shared" si="6"/>
        <v>0</v>
      </c>
      <c r="I35" s="7">
        <f t="shared" si="6"/>
        <v>0</v>
      </c>
      <c r="J35" s="7">
        <f t="shared" si="6"/>
        <v>0</v>
      </c>
      <c r="K35" s="7">
        <f t="shared" si="6"/>
        <v>0</v>
      </c>
      <c r="L35" s="7">
        <f t="shared" si="6"/>
        <v>0</v>
      </c>
      <c r="M35" s="7">
        <f t="shared" si="6"/>
        <v>0</v>
      </c>
      <c r="N35" s="7">
        <f t="shared" si="6"/>
        <v>0</v>
      </c>
      <c r="O35" s="7"/>
      <c r="P35" s="7"/>
      <c r="Q35" s="7"/>
      <c r="R35" s="7"/>
    </row>
    <row r="36" spans="2:18" hidden="1" x14ac:dyDescent="0.3">
      <c r="B36" s="1" t="s">
        <v>49</v>
      </c>
      <c r="C36" s="7">
        <f>+C29*$C$30</f>
        <v>0</v>
      </c>
      <c r="D36" s="7">
        <f t="shared" ref="D36:N36" si="7">+C39*$C$30</f>
        <v>0</v>
      </c>
      <c r="E36" s="7">
        <f t="shared" si="7"/>
        <v>0</v>
      </c>
      <c r="F36" s="7">
        <f t="shared" si="7"/>
        <v>0</v>
      </c>
      <c r="G36" s="7">
        <f t="shared" si="7"/>
        <v>0</v>
      </c>
      <c r="H36" s="7">
        <f t="shared" si="7"/>
        <v>0</v>
      </c>
      <c r="I36" s="7">
        <f t="shared" si="7"/>
        <v>0</v>
      </c>
      <c r="J36" s="7">
        <f t="shared" si="7"/>
        <v>0</v>
      </c>
      <c r="K36" s="7">
        <f t="shared" si="7"/>
        <v>0</v>
      </c>
      <c r="L36" s="7">
        <f t="shared" si="7"/>
        <v>0</v>
      </c>
      <c r="M36" s="7">
        <f t="shared" si="7"/>
        <v>0</v>
      </c>
      <c r="N36" s="7">
        <f t="shared" si="7"/>
        <v>0</v>
      </c>
      <c r="O36" s="7"/>
      <c r="P36" s="7"/>
      <c r="Q36" s="7"/>
      <c r="R36" s="7"/>
    </row>
    <row r="37" spans="2:18" hidden="1" x14ac:dyDescent="0.3">
      <c r="B37" s="1" t="s">
        <v>50</v>
      </c>
      <c r="C37" s="7">
        <f t="shared" ref="C37:N37" si="8">+C35-C36</f>
        <v>0</v>
      </c>
      <c r="D37" s="7">
        <f t="shared" si="8"/>
        <v>0</v>
      </c>
      <c r="E37" s="7">
        <f t="shared" si="8"/>
        <v>0</v>
      </c>
      <c r="F37" s="7">
        <f t="shared" si="8"/>
        <v>0</v>
      </c>
      <c r="G37" s="7">
        <f t="shared" si="8"/>
        <v>0</v>
      </c>
      <c r="H37" s="7">
        <f t="shared" si="8"/>
        <v>0</v>
      </c>
      <c r="I37" s="7">
        <f t="shared" si="8"/>
        <v>0</v>
      </c>
      <c r="J37" s="7">
        <f t="shared" si="8"/>
        <v>0</v>
      </c>
      <c r="K37" s="7">
        <f t="shared" si="8"/>
        <v>0</v>
      </c>
      <c r="L37" s="7">
        <f t="shared" si="8"/>
        <v>0</v>
      </c>
      <c r="M37" s="7">
        <f t="shared" si="8"/>
        <v>0</v>
      </c>
      <c r="N37" s="7">
        <f t="shared" si="8"/>
        <v>0</v>
      </c>
      <c r="O37" s="7"/>
      <c r="P37" s="7"/>
      <c r="Q37" s="7"/>
      <c r="R37" s="7"/>
    </row>
    <row r="38" spans="2:18" hidden="1" x14ac:dyDescent="0.3"/>
    <row r="39" spans="2:18" hidden="1" x14ac:dyDescent="0.3">
      <c r="B39" s="1" t="s">
        <v>51</v>
      </c>
      <c r="C39" s="7">
        <f>+C29-C37</f>
        <v>0</v>
      </c>
      <c r="D39" s="7">
        <f t="shared" ref="D39:N39" si="9">+C39-D37</f>
        <v>0</v>
      </c>
      <c r="E39" s="7">
        <f t="shared" si="9"/>
        <v>0</v>
      </c>
      <c r="F39" s="7">
        <f t="shared" si="9"/>
        <v>0</v>
      </c>
      <c r="G39" s="7">
        <f t="shared" si="9"/>
        <v>0</v>
      </c>
      <c r="H39" s="7">
        <f t="shared" si="9"/>
        <v>0</v>
      </c>
      <c r="I39" s="7">
        <f t="shared" si="9"/>
        <v>0</v>
      </c>
      <c r="J39" s="7">
        <f t="shared" si="9"/>
        <v>0</v>
      </c>
      <c r="K39" s="7">
        <f t="shared" si="9"/>
        <v>0</v>
      </c>
      <c r="L39" s="7">
        <f t="shared" si="9"/>
        <v>0</v>
      </c>
      <c r="M39" s="7">
        <f t="shared" si="9"/>
        <v>0</v>
      </c>
      <c r="N39" s="7">
        <f t="shared" si="9"/>
        <v>0</v>
      </c>
      <c r="O39" s="7"/>
      <c r="P39" s="7"/>
      <c r="Q39" s="7"/>
      <c r="R39" s="7"/>
    </row>
    <row r="40" spans="2:18" hidden="1" x14ac:dyDescent="0.3"/>
    <row r="41" spans="2:18" hidden="1" x14ac:dyDescent="0.3"/>
    <row r="42" spans="2:18" hidden="1" x14ac:dyDescent="0.3">
      <c r="B42" s="1" t="s">
        <v>52</v>
      </c>
      <c r="C42" s="22">
        <v>0.22500000000000001</v>
      </c>
    </row>
    <row r="43" spans="2:18" hidden="1" x14ac:dyDescent="0.3"/>
    <row r="44" spans="2:18" hidden="1" x14ac:dyDescent="0.3">
      <c r="B44" s="20" t="s">
        <v>53</v>
      </c>
      <c r="C44" s="21">
        <f>+C23*50%</f>
        <v>0</v>
      </c>
      <c r="E44" s="23" t="s">
        <v>54</v>
      </c>
      <c r="F44" s="23"/>
      <c r="G44" s="23"/>
      <c r="H44" s="24">
        <v>0.5</v>
      </c>
      <c r="I44" s="7">
        <f>+H44*C44</f>
        <v>0</v>
      </c>
      <c r="J44" s="1" t="s">
        <v>55</v>
      </c>
    </row>
    <row r="45" spans="2:18" hidden="1" x14ac:dyDescent="0.3">
      <c r="B45" s="1" t="s">
        <v>45</v>
      </c>
      <c r="C45" s="19">
        <v>0</v>
      </c>
    </row>
    <row r="46" spans="2:18" hidden="1" x14ac:dyDescent="0.3">
      <c r="B46" s="1" t="s">
        <v>46</v>
      </c>
      <c r="C46" s="1">
        <v>6</v>
      </c>
      <c r="D46" s="1" t="s">
        <v>56</v>
      </c>
    </row>
    <row r="47" spans="2:18" hidden="1" x14ac:dyDescent="0.3"/>
    <row r="48" spans="2:18" hidden="1" x14ac:dyDescent="0.3">
      <c r="B48" s="1" t="s">
        <v>47</v>
      </c>
      <c r="C48" s="7">
        <f>+C44/C46</f>
        <v>0</v>
      </c>
    </row>
    <row r="49" spans="2:14" hidden="1" x14ac:dyDescent="0.3"/>
    <row r="50" spans="2:14" hidden="1" x14ac:dyDescent="0.3">
      <c r="B50" s="1" t="s">
        <v>48</v>
      </c>
      <c r="C50" s="7"/>
      <c r="D50" s="7"/>
      <c r="E50" s="7">
        <f>+C48</f>
        <v>0</v>
      </c>
      <c r="F50" s="7">
        <f>+E50</f>
        <v>0</v>
      </c>
      <c r="G50" s="7">
        <f>+F50</f>
        <v>0</v>
      </c>
      <c r="H50" s="7">
        <f>+G50</f>
        <v>0</v>
      </c>
      <c r="I50" s="7">
        <f>+H50</f>
        <v>0</v>
      </c>
      <c r="J50" s="7">
        <f>+I50</f>
        <v>0</v>
      </c>
      <c r="K50" s="7"/>
      <c r="L50" s="7"/>
      <c r="M50" s="7"/>
      <c r="N50" s="7"/>
    </row>
    <row r="51" spans="2:14" hidden="1" x14ac:dyDescent="0.3">
      <c r="B51" s="1" t="s">
        <v>49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2:14" hidden="1" x14ac:dyDescent="0.3">
      <c r="B52" s="1" t="s">
        <v>50</v>
      </c>
      <c r="C52" s="7"/>
      <c r="D52" s="7"/>
      <c r="E52" s="7">
        <f t="shared" ref="E52:J52" si="10">+E50-E51</f>
        <v>0</v>
      </c>
      <c r="F52" s="7">
        <f t="shared" si="10"/>
        <v>0</v>
      </c>
      <c r="G52" s="7">
        <f t="shared" si="10"/>
        <v>0</v>
      </c>
      <c r="H52" s="7">
        <f t="shared" si="10"/>
        <v>0</v>
      </c>
      <c r="I52" s="7">
        <f t="shared" si="10"/>
        <v>0</v>
      </c>
      <c r="J52" s="7">
        <f t="shared" si="10"/>
        <v>0</v>
      </c>
      <c r="K52" s="7"/>
      <c r="L52" s="7"/>
      <c r="M52" s="7"/>
      <c r="N52" s="7"/>
    </row>
    <row r="53" spans="2:14" hidden="1" x14ac:dyDescent="0.3"/>
    <row r="54" spans="2:14" hidden="1" x14ac:dyDescent="0.3">
      <c r="B54" s="1" t="s">
        <v>51</v>
      </c>
      <c r="C54" s="7">
        <f>+C44-C52</f>
        <v>0</v>
      </c>
      <c r="D54" s="7">
        <f t="shared" ref="D54:J54" si="11">+C54-D52</f>
        <v>0</v>
      </c>
      <c r="E54" s="7">
        <f t="shared" si="11"/>
        <v>0</v>
      </c>
      <c r="F54" s="7">
        <f t="shared" si="11"/>
        <v>0</v>
      </c>
      <c r="G54" s="7">
        <f t="shared" si="11"/>
        <v>0</v>
      </c>
      <c r="H54" s="7">
        <f t="shared" si="11"/>
        <v>0</v>
      </c>
      <c r="I54" s="7">
        <f t="shared" si="11"/>
        <v>0</v>
      </c>
      <c r="J54" s="7">
        <f t="shared" si="11"/>
        <v>0</v>
      </c>
      <c r="K54" s="7"/>
      <c r="L54" s="7"/>
      <c r="M54" s="7"/>
      <c r="N54" s="7"/>
    </row>
    <row r="55" spans="2:14" hidden="1" x14ac:dyDescent="0.3"/>
    <row r="56" spans="2:14" hidden="1" x14ac:dyDescent="0.3"/>
    <row r="57" spans="2:14" hidden="1" x14ac:dyDescent="0.3"/>
    <row r="58" spans="2:14" hidden="1" x14ac:dyDescent="0.3"/>
    <row r="59" spans="2:14" hidden="1" x14ac:dyDescent="0.3"/>
    <row r="60" spans="2:14" hidden="1" x14ac:dyDescent="0.3"/>
    <row r="61" spans="2:14" hidden="1" x14ac:dyDescent="0.3"/>
    <row r="62" spans="2:14" hidden="1" x14ac:dyDescent="0.3"/>
    <row r="63" spans="2:14" hidden="1" x14ac:dyDescent="0.3"/>
    <row r="64" spans="2:1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spans="4:4" hidden="1" x14ac:dyDescent="0.3"/>
    <row r="102" spans="4:4" x14ac:dyDescent="0.3">
      <c r="D102" s="7"/>
    </row>
  </sheetData>
  <pageMargins left="0.75" right="0.75" top="1" bottom="1" header="0.5" footer="0.5"/>
  <pageSetup paperSize="0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60D5F-1E32-479E-960A-56653FA87BAE}">
  <dimension ref="B3:XFD71"/>
  <sheetViews>
    <sheetView showGridLines="0" tabSelected="1" topLeftCell="A4" zoomScale="58" zoomScaleNormal="55" workbookViewId="0">
      <selection activeCell="B5" sqref="B5"/>
    </sheetView>
  </sheetViews>
  <sheetFormatPr baseColWidth="10" defaultColWidth="10.58203125" defaultRowHeight="13" x14ac:dyDescent="0.3"/>
  <cols>
    <col min="1" max="1" width="1.08203125" style="1" customWidth="1"/>
    <col min="2" max="2" width="29.58203125" style="1" bestFit="1" customWidth="1"/>
    <col min="3" max="3" width="46.08203125" style="1" customWidth="1"/>
    <col min="4" max="4" width="12.08203125" style="1" bestFit="1" customWidth="1"/>
    <col min="5" max="5" width="16.5" style="1" bestFit="1" customWidth="1"/>
    <col min="6" max="6" width="10" style="1" bestFit="1" customWidth="1"/>
    <col min="7" max="7" width="9.83203125" style="1" bestFit="1" customWidth="1"/>
    <col min="8" max="9" width="10.08203125" style="1" bestFit="1" customWidth="1"/>
    <col min="10" max="10" width="10" style="1" bestFit="1" customWidth="1"/>
    <col min="11" max="11" width="11" style="1" bestFit="1" customWidth="1"/>
    <col min="12" max="12" width="11.08203125" style="1" bestFit="1" customWidth="1"/>
    <col min="13" max="13" width="10.83203125" style="1" bestFit="1" customWidth="1"/>
    <col min="14" max="14" width="11" style="1" bestFit="1" customWidth="1"/>
    <col min="15" max="15" width="10.5" style="1" bestFit="1" customWidth="1"/>
    <col min="16" max="16" width="9.5" style="1" bestFit="1" customWidth="1"/>
    <col min="17" max="17" width="9.58203125" style="1" bestFit="1" customWidth="1"/>
    <col min="18" max="19" width="9.5" style="1" bestFit="1" customWidth="1"/>
    <col min="20" max="21" width="9.58203125" style="1" bestFit="1" customWidth="1"/>
    <col min="22" max="23" width="9.08203125" style="1" bestFit="1" customWidth="1"/>
    <col min="24" max="16384" width="10.58203125" style="1"/>
  </cols>
  <sheetData>
    <row r="3" spans="2:23" x14ac:dyDescent="0.3">
      <c r="B3" s="2" t="s">
        <v>57</v>
      </c>
      <c r="C3" s="2"/>
      <c r="D3" s="2">
        <v>2023</v>
      </c>
      <c r="E3" s="2">
        <f>D3+1</f>
        <v>2024</v>
      </c>
      <c r="F3" s="2">
        <f t="shared" ref="F3:O3" si="0">E3+1</f>
        <v>2025</v>
      </c>
      <c r="G3" s="2">
        <f t="shared" si="0"/>
        <v>2026</v>
      </c>
      <c r="H3" s="2">
        <f t="shared" si="0"/>
        <v>2027</v>
      </c>
      <c r="I3" s="2">
        <f t="shared" si="0"/>
        <v>2028</v>
      </c>
      <c r="J3" s="2">
        <f t="shared" si="0"/>
        <v>2029</v>
      </c>
      <c r="K3" s="2">
        <f t="shared" si="0"/>
        <v>2030</v>
      </c>
      <c r="L3" s="2">
        <f t="shared" si="0"/>
        <v>2031</v>
      </c>
      <c r="M3" s="2">
        <f t="shared" si="0"/>
        <v>2032</v>
      </c>
      <c r="N3" s="2">
        <f t="shared" si="0"/>
        <v>2033</v>
      </c>
      <c r="O3" s="2">
        <f t="shared" si="0"/>
        <v>2034</v>
      </c>
      <c r="P3" s="2">
        <v>2031</v>
      </c>
      <c r="Q3" s="2">
        <v>2032</v>
      </c>
      <c r="R3" s="2">
        <v>2033</v>
      </c>
      <c r="S3" s="2">
        <v>2034</v>
      </c>
      <c r="T3" s="2">
        <v>2035</v>
      </c>
      <c r="U3" s="2">
        <v>2036</v>
      </c>
      <c r="V3" s="2">
        <v>2037</v>
      </c>
      <c r="W3" s="2">
        <v>2038</v>
      </c>
    </row>
    <row r="4" spans="2:23" ht="4.4000000000000004" customHeight="1" x14ac:dyDescent="0.3"/>
    <row r="5" spans="2:23" x14ac:dyDescent="0.3">
      <c r="B5" s="6" t="s">
        <v>34</v>
      </c>
      <c r="C5" s="4"/>
      <c r="D5" s="5">
        <f>+'Income Statement (C&amp;C)'!C12</f>
        <v>1550033.0999999996</v>
      </c>
      <c r="E5" s="5">
        <f>+'Income Statement (C&amp;C)'!D12</f>
        <v>1948532.4980855002</v>
      </c>
      <c r="F5" s="5">
        <f>+'Income Statement (C&amp;C)'!E12</f>
        <v>2663703.711993875</v>
      </c>
      <c r="G5" s="5">
        <f>+'Income Statement (C&amp;C)'!F12</f>
        <v>3631296.8635200122</v>
      </c>
      <c r="H5" s="5">
        <f>+'Income Statement (C&amp;C)'!G12</f>
        <v>4938645.8647102099</v>
      </c>
      <c r="I5" s="5">
        <f>+'Income Statement (C&amp;C)'!H12</f>
        <v>6702200.8353799395</v>
      </c>
      <c r="J5" s="5">
        <f>+'Income Statement (C&amp;C)'!I12</f>
        <v>8304331.8354304722</v>
      </c>
      <c r="K5" s="5">
        <f>+'Income Statement (C&amp;C)'!J12</f>
        <v>9849142.7720395643</v>
      </c>
      <c r="L5" s="87">
        <f>+'Income Statement (C&amp;C)'!K12</f>
        <v>11116077.062186025</v>
      </c>
      <c r="M5" s="87">
        <f>+'Income Statement (C&amp;C)'!L12</f>
        <v>12112654.298357664</v>
      </c>
      <c r="N5" s="87">
        <f>+'Income Statement (C&amp;C)'!M12</f>
        <v>13268809.942462845</v>
      </c>
      <c r="O5" s="87">
        <f>+'Income Statement (C&amp;C)'!N12</f>
        <v>14542464.331911094</v>
      </c>
      <c r="P5" s="79"/>
      <c r="Q5" s="79">
        <f>+'Income Statement (C&amp;C)'!P12</f>
        <v>0</v>
      </c>
      <c r="R5" s="79">
        <f>+'Income Statement (C&amp;C)'!Q12</f>
        <v>0</v>
      </c>
      <c r="S5" s="79">
        <f>+'Income Statement (C&amp;C)'!R12</f>
        <v>0</v>
      </c>
      <c r="T5" s="79">
        <f>+'Income Statement (C&amp;C)'!S12</f>
        <v>0</v>
      </c>
      <c r="U5" s="79">
        <f>+'Income Statement (C&amp;C)'!T12</f>
        <v>0</v>
      </c>
      <c r="V5" s="79">
        <f>+'Income Statement (C&amp;C)'!U12</f>
        <v>0</v>
      </c>
      <c r="W5" s="79">
        <f>+'Income Statement (C&amp;C)'!V12</f>
        <v>0</v>
      </c>
    </row>
    <row r="6" spans="2:23" x14ac:dyDescent="0.3">
      <c r="B6" s="6" t="s">
        <v>3</v>
      </c>
      <c r="C6" s="4"/>
      <c r="D6" s="5">
        <f>+'Income Statement (C&amp;C)'!C10</f>
        <v>0</v>
      </c>
      <c r="E6" s="5">
        <f>'Income Statement (C&amp;C)'!D10</f>
        <v>284860.29483950004</v>
      </c>
      <c r="F6" s="5">
        <f>'Income Statement (C&amp;C)'!E10</f>
        <v>365942.16362612508</v>
      </c>
      <c r="G6" s="5">
        <f>'Income Statement (C&amp;C)'!F10</f>
        <v>471348.59304873762</v>
      </c>
      <c r="H6" s="5">
        <f>'Income Statement (C&amp;C)'!G10</f>
        <v>608130.79257073975</v>
      </c>
      <c r="I6" s="5">
        <f>'Income Statement (C&amp;C)'!H10</f>
        <v>785947.65194934246</v>
      </c>
      <c r="J6" s="5">
        <f>'Income Statement (C&amp;C)'!I10</f>
        <v>1014252.9488015259</v>
      </c>
      <c r="K6" s="5">
        <f>'Income Statement (C&amp;C)'!J10</f>
        <v>1008672.5345878962</v>
      </c>
      <c r="L6" s="87">
        <f>'Income Statement (C&amp;C)'!K10</f>
        <v>1239367.9419072941</v>
      </c>
      <c r="M6" s="87">
        <f>'Income Statement (C&amp;C)'!L10</f>
        <v>1478335.2061449864</v>
      </c>
      <c r="N6" s="87">
        <f>'Income Statement (C&amp;C)'!M10</f>
        <v>1341503.7748775056</v>
      </c>
      <c r="O6" s="87">
        <f>'Income Statement (C&amp;C)'!N10</f>
        <v>1163622.9142297804</v>
      </c>
      <c r="P6" s="79"/>
      <c r="Q6" s="79">
        <f>+'Income Statement (C&amp;C)'!P10</f>
        <v>0</v>
      </c>
      <c r="R6" s="79">
        <f>+'Income Statement (C&amp;C)'!Q10</f>
        <v>0</v>
      </c>
      <c r="S6" s="79">
        <f>+'Income Statement (C&amp;C)'!R10</f>
        <v>0</v>
      </c>
      <c r="T6" s="79">
        <f>+'Income Statement (C&amp;C)'!S10</f>
        <v>0</v>
      </c>
      <c r="U6" s="79">
        <f>+'Income Statement (C&amp;C)'!T10</f>
        <v>0</v>
      </c>
      <c r="V6" s="79">
        <f>+'Income Statement (C&amp;C)'!U10</f>
        <v>0</v>
      </c>
      <c r="W6" s="79">
        <f>+'Income Statement (C&amp;C)'!V10</f>
        <v>0</v>
      </c>
    </row>
    <row r="7" spans="2:23" x14ac:dyDescent="0.3">
      <c r="B7" s="6" t="s">
        <v>58</v>
      </c>
      <c r="C7" s="4"/>
      <c r="D7" s="5">
        <f>+D29-C29</f>
        <v>157681.10000000033</v>
      </c>
      <c r="E7" s="5">
        <f>+E29-D29</f>
        <v>271397.85092500388</v>
      </c>
      <c r="F7" s="5">
        <f t="shared" ref="F7:O7" si="1">+F29-E29</f>
        <v>-49937.552461545449</v>
      </c>
      <c r="G7" s="5">
        <f t="shared" si="1"/>
        <v>-88152.687682813965</v>
      </c>
      <c r="H7" s="5">
        <f t="shared" si="1"/>
        <v>-191276.93764805701</v>
      </c>
      <c r="I7" s="5">
        <f t="shared" si="1"/>
        <v>-325063.43436841574</v>
      </c>
      <c r="J7" s="5">
        <f t="shared" si="1"/>
        <v>-460065.80150496773</v>
      </c>
      <c r="K7" s="5">
        <f t="shared" si="1"/>
        <v>-83585.704781465232</v>
      </c>
      <c r="L7" s="87">
        <f t="shared" si="1"/>
        <v>-17890.717744259164</v>
      </c>
      <c r="M7" s="87">
        <f t="shared" si="1"/>
        <v>-53458.389816790819</v>
      </c>
      <c r="N7" s="87">
        <f t="shared" si="1"/>
        <v>-114387.16788170114</v>
      </c>
      <c r="O7" s="87">
        <f t="shared" si="1"/>
        <v>-129343.33981896937</v>
      </c>
      <c r="P7" s="79"/>
      <c r="Q7" s="79">
        <f t="shared" ref="Q7:W7" si="2">+Q29-P29</f>
        <v>0</v>
      </c>
      <c r="R7" s="79">
        <f t="shared" si="2"/>
        <v>0</v>
      </c>
      <c r="S7" s="79">
        <f t="shared" si="2"/>
        <v>0</v>
      </c>
      <c r="T7" s="79">
        <f t="shared" si="2"/>
        <v>0</v>
      </c>
      <c r="U7" s="79">
        <f t="shared" si="2"/>
        <v>0</v>
      </c>
      <c r="V7" s="79">
        <f t="shared" si="2"/>
        <v>0</v>
      </c>
      <c r="W7" s="79">
        <f t="shared" si="2"/>
        <v>0</v>
      </c>
    </row>
    <row r="8" spans="2:23" ht="4.4000000000000004" customHeight="1" x14ac:dyDescent="0.3">
      <c r="B8" s="6"/>
      <c r="C8" s="4"/>
      <c r="D8" s="5"/>
      <c r="E8" s="5"/>
      <c r="F8" s="5"/>
      <c r="G8" s="5"/>
      <c r="H8" s="5"/>
      <c r="I8" s="5"/>
      <c r="J8" s="5"/>
      <c r="K8" s="5"/>
      <c r="L8" s="87"/>
      <c r="M8" s="87"/>
      <c r="N8" s="87"/>
      <c r="O8" s="87"/>
      <c r="P8" s="79"/>
      <c r="Q8" s="79"/>
      <c r="R8" s="79"/>
      <c r="S8" s="79"/>
      <c r="T8" s="79"/>
      <c r="U8" s="79"/>
      <c r="V8" s="79"/>
      <c r="W8" s="79"/>
    </row>
    <row r="9" spans="2:23" ht="13.5" thickBot="1" x14ac:dyDescent="0.35">
      <c r="B9" s="8" t="s">
        <v>59</v>
      </c>
      <c r="C9" s="8"/>
      <c r="D9" s="9">
        <f>+D5+D6-D7</f>
        <v>1392351.9999999993</v>
      </c>
      <c r="E9" s="9">
        <f>+E5+E6-E7</f>
        <v>1961994.9419999963</v>
      </c>
      <c r="F9" s="9">
        <f>+F5+F6-F7</f>
        <v>3079583.4280815455</v>
      </c>
      <c r="G9" s="9">
        <f t="shared" ref="G9:W9" si="3">+G5+G6-G7</f>
        <v>4190798.1442515636</v>
      </c>
      <c r="H9" s="9">
        <f t="shared" si="3"/>
        <v>5738053.5949290069</v>
      </c>
      <c r="I9" s="9">
        <f t="shared" si="3"/>
        <v>7813211.9216976976</v>
      </c>
      <c r="J9" s="9">
        <f t="shared" si="3"/>
        <v>9778650.5857369658</v>
      </c>
      <c r="K9" s="9">
        <f t="shared" si="3"/>
        <v>10941401.011408925</v>
      </c>
      <c r="L9" s="88">
        <f t="shared" si="3"/>
        <v>12373335.721837578</v>
      </c>
      <c r="M9" s="88">
        <f t="shared" si="3"/>
        <v>13644447.894319441</v>
      </c>
      <c r="N9" s="88">
        <f t="shared" si="3"/>
        <v>14724700.885222051</v>
      </c>
      <c r="O9" s="88">
        <f t="shared" si="3"/>
        <v>15835430.585959844</v>
      </c>
      <c r="P9" s="80">
        <f t="shared" si="3"/>
        <v>0</v>
      </c>
      <c r="Q9" s="80">
        <f t="shared" si="3"/>
        <v>0</v>
      </c>
      <c r="R9" s="80">
        <f t="shared" si="3"/>
        <v>0</v>
      </c>
      <c r="S9" s="80">
        <f t="shared" si="3"/>
        <v>0</v>
      </c>
      <c r="T9" s="80">
        <f t="shared" si="3"/>
        <v>0</v>
      </c>
      <c r="U9" s="80">
        <f t="shared" si="3"/>
        <v>0</v>
      </c>
      <c r="V9" s="80">
        <f t="shared" si="3"/>
        <v>0</v>
      </c>
      <c r="W9" s="80">
        <f t="shared" si="3"/>
        <v>0</v>
      </c>
    </row>
    <row r="10" spans="2:23" ht="3" customHeight="1" thickTop="1" x14ac:dyDescent="0.3">
      <c r="B10" s="23"/>
      <c r="C10" s="23"/>
      <c r="D10" s="25"/>
      <c r="E10" s="25"/>
      <c r="F10" s="25"/>
      <c r="G10" s="25"/>
      <c r="H10" s="25"/>
      <c r="I10" s="25"/>
      <c r="J10" s="25"/>
      <c r="K10" s="25"/>
      <c r="L10" s="89"/>
      <c r="M10" s="89"/>
      <c r="N10" s="89"/>
      <c r="O10" s="89"/>
      <c r="P10" s="81"/>
      <c r="Q10" s="81"/>
      <c r="R10" s="81"/>
      <c r="S10" s="81"/>
      <c r="T10" s="81"/>
      <c r="U10" s="81"/>
      <c r="V10" s="81"/>
      <c r="W10" s="81"/>
    </row>
    <row r="11" spans="2:23" x14ac:dyDescent="0.3">
      <c r="B11" s="6" t="s">
        <v>37</v>
      </c>
      <c r="C11" s="4"/>
      <c r="D11" s="5">
        <f>+'Income Statement (C&amp;C)'!C16</f>
        <v>328548.96999999997</v>
      </c>
      <c r="E11" s="5">
        <f>+'Income Statement (C&amp;C)'!D16</f>
        <v>409191.82459795504</v>
      </c>
      <c r="F11" s="5">
        <f>+'Income Statement (C&amp;C)'!E16</f>
        <v>559377.77951871371</v>
      </c>
      <c r="G11" s="5">
        <f>+'Income Statement (C&amp;C)'!F16</f>
        <v>762572.3413392026</v>
      </c>
      <c r="H11" s="5">
        <f>+'Income Statement (C&amp;C)'!G16</f>
        <v>1037115.631589144</v>
      </c>
      <c r="I11" s="5">
        <f>+'Income Statement (C&amp;C)'!H16</f>
        <v>1407462.1754297873</v>
      </c>
      <c r="J11" s="5">
        <f>+'Income Statement (C&amp;C)'!I16</f>
        <v>1743909.685440399</v>
      </c>
      <c r="K11" s="5">
        <f>+'Income Statement (C&amp;C)'!J16</f>
        <v>2068319.9821283084</v>
      </c>
      <c r="L11" s="87">
        <f>+'Income Statement (C&amp;C)'!K16</f>
        <v>2334376.1830590651</v>
      </c>
      <c r="M11" s="87">
        <f>+'Income Statement (C&amp;C)'!L16</f>
        <v>2543657.4026551093</v>
      </c>
      <c r="N11" s="87">
        <f>+'Income Statement (C&amp;C)'!M16</f>
        <v>2786450.0879171975</v>
      </c>
      <c r="O11" s="87">
        <f>+'Income Statement (C&amp;C)'!N16</f>
        <v>3053917.5097013297</v>
      </c>
      <c r="P11" s="79"/>
      <c r="Q11" s="79">
        <f>+'Income Statement (C&amp;C)'!P16</f>
        <v>0</v>
      </c>
      <c r="R11" s="79">
        <f>+'Income Statement (C&amp;C)'!Q16</f>
        <v>0</v>
      </c>
      <c r="S11" s="79">
        <f>+'Income Statement (C&amp;C)'!R16</f>
        <v>0</v>
      </c>
      <c r="T11" s="79">
        <f>+'Income Statement (C&amp;C)'!S16</f>
        <v>0</v>
      </c>
      <c r="U11" s="79">
        <f>+'Income Statement (C&amp;C)'!T16</f>
        <v>0</v>
      </c>
      <c r="V11" s="79">
        <f>+'Income Statement (C&amp;C)'!U16</f>
        <v>0</v>
      </c>
      <c r="W11" s="79">
        <f>+'Income Statement (C&amp;C)'!V16</f>
        <v>0</v>
      </c>
    </row>
    <row r="12" spans="2:23" x14ac:dyDescent="0.3">
      <c r="B12" s="6" t="s">
        <v>60</v>
      </c>
      <c r="C12" s="4"/>
      <c r="D12" s="5">
        <v>0</v>
      </c>
      <c r="E12" s="5">
        <f>+'Income Statement (C&amp;C)'!D13</f>
        <v>0</v>
      </c>
      <c r="F12" s="5">
        <f>+'Income Statement (C&amp;C)'!E13</f>
        <v>0</v>
      </c>
      <c r="G12" s="5">
        <f>+'Income Statement (C&amp;C)'!F13</f>
        <v>0</v>
      </c>
      <c r="H12" s="5">
        <f>+'Income Statement (C&amp;C)'!G13</f>
        <v>0</v>
      </c>
      <c r="I12" s="5">
        <f>+'Income Statement (C&amp;C)'!H13</f>
        <v>0</v>
      </c>
      <c r="J12" s="5">
        <f>+'Income Statement (C&amp;C)'!I13</f>
        <v>0</v>
      </c>
      <c r="K12" s="5">
        <f>+'Income Statement (C&amp;C)'!J13</f>
        <v>0</v>
      </c>
      <c r="L12" s="87">
        <f>+'Income Statement (C&amp;C)'!K13</f>
        <v>0</v>
      </c>
      <c r="M12" s="87">
        <f>+'Income Statement (C&amp;C)'!L13</f>
        <v>0</v>
      </c>
      <c r="N12" s="87">
        <f>+'Income Statement (C&amp;C)'!M13</f>
        <v>0</v>
      </c>
      <c r="O12" s="87">
        <f>+'Income Statement (C&amp;C)'!N13</f>
        <v>0</v>
      </c>
      <c r="P12" s="79">
        <f>+'Income Statement (C&amp;C)'!O13</f>
        <v>0</v>
      </c>
      <c r="Q12" s="79">
        <f>+'Income Statement (C&amp;C)'!P13</f>
        <v>0</v>
      </c>
      <c r="R12" s="79">
        <f>+'Income Statement (C&amp;C)'!Q13</f>
        <v>0</v>
      </c>
      <c r="S12" s="79">
        <f>+'Income Statement (C&amp;C)'!R13</f>
        <v>0</v>
      </c>
      <c r="T12" s="79">
        <f>+'Income Statement (C&amp;C)'!S13</f>
        <v>0</v>
      </c>
      <c r="U12" s="79">
        <f>+'Income Statement (C&amp;C)'!T13</f>
        <v>0</v>
      </c>
      <c r="V12" s="79">
        <f>+'Income Statement (C&amp;C)'!U13</f>
        <v>0</v>
      </c>
      <c r="W12" s="79">
        <f>+'Income Statement (C&amp;C)'!V13</f>
        <v>0</v>
      </c>
    </row>
    <row r="13" spans="2:23" ht="4.4000000000000004" customHeight="1" x14ac:dyDescent="0.3">
      <c r="B13" s="6"/>
      <c r="C13" s="4"/>
      <c r="D13" s="5"/>
      <c r="E13" s="5"/>
      <c r="F13" s="5"/>
      <c r="G13" s="5"/>
      <c r="H13" s="5"/>
      <c r="I13" s="5"/>
      <c r="J13" s="5"/>
      <c r="K13" s="5"/>
      <c r="L13" s="87"/>
      <c r="M13" s="87"/>
      <c r="N13" s="87"/>
      <c r="O13" s="87"/>
      <c r="P13" s="79"/>
      <c r="Q13" s="79"/>
      <c r="R13" s="79"/>
      <c r="S13" s="79"/>
      <c r="T13" s="79"/>
      <c r="U13" s="79"/>
      <c r="V13" s="79"/>
      <c r="W13" s="79"/>
    </row>
    <row r="14" spans="2:23" s="23" customFormat="1" ht="13.5" thickBot="1" x14ac:dyDescent="0.35">
      <c r="B14" s="8" t="s">
        <v>61</v>
      </c>
      <c r="C14" s="8"/>
      <c r="D14" s="9">
        <f>+D9-D12-D11</f>
        <v>1063803.0299999993</v>
      </c>
      <c r="E14" s="9">
        <f t="shared" ref="E14:W14" si="4">+E9-E12-E11</f>
        <v>1552803.1174020413</v>
      </c>
      <c r="F14" s="9">
        <f t="shared" si="4"/>
        <v>2520205.6485628318</v>
      </c>
      <c r="G14" s="9">
        <f t="shared" si="4"/>
        <v>3428225.802912361</v>
      </c>
      <c r="H14" s="9">
        <f t="shared" si="4"/>
        <v>4700937.9633398633</v>
      </c>
      <c r="I14" s="9">
        <f t="shared" si="4"/>
        <v>6405749.7462679101</v>
      </c>
      <c r="J14" s="9">
        <f t="shared" si="4"/>
        <v>8034740.900296567</v>
      </c>
      <c r="K14" s="9">
        <f t="shared" si="4"/>
        <v>8873081.029280616</v>
      </c>
      <c r="L14" s="88">
        <f t="shared" si="4"/>
        <v>10038959.538778514</v>
      </c>
      <c r="M14" s="88">
        <f t="shared" si="4"/>
        <v>11100790.491664331</v>
      </c>
      <c r="N14" s="88">
        <f t="shared" si="4"/>
        <v>11938250.797304854</v>
      </c>
      <c r="O14" s="88">
        <f t="shared" si="4"/>
        <v>12781513.076258514</v>
      </c>
      <c r="P14" s="80">
        <f t="shared" si="4"/>
        <v>0</v>
      </c>
      <c r="Q14" s="80">
        <f t="shared" si="4"/>
        <v>0</v>
      </c>
      <c r="R14" s="80">
        <f t="shared" si="4"/>
        <v>0</v>
      </c>
      <c r="S14" s="80">
        <f t="shared" si="4"/>
        <v>0</v>
      </c>
      <c r="T14" s="80">
        <f t="shared" si="4"/>
        <v>0</v>
      </c>
      <c r="U14" s="80">
        <f t="shared" si="4"/>
        <v>0</v>
      </c>
      <c r="V14" s="80">
        <f t="shared" si="4"/>
        <v>0</v>
      </c>
      <c r="W14" s="80">
        <f t="shared" si="4"/>
        <v>0</v>
      </c>
    </row>
    <row r="15" spans="2:23" ht="3" customHeight="1" thickTop="1" x14ac:dyDescent="0.3">
      <c r="D15" s="7"/>
      <c r="E15" s="7"/>
      <c r="F15" s="7"/>
      <c r="G15" s="7"/>
      <c r="H15" s="7"/>
      <c r="I15" s="7"/>
      <c r="J15" s="7"/>
      <c r="K15" s="7"/>
      <c r="L15" s="90"/>
      <c r="M15" s="90"/>
      <c r="N15" s="90"/>
      <c r="O15" s="90"/>
      <c r="P15" s="82"/>
      <c r="Q15" s="82"/>
      <c r="R15" s="82"/>
      <c r="S15" s="82"/>
      <c r="T15" s="82"/>
      <c r="U15" s="82"/>
      <c r="V15" s="82"/>
      <c r="W15" s="82"/>
    </row>
    <row r="16" spans="2:23" x14ac:dyDescent="0.3">
      <c r="B16" s="6" t="s">
        <v>62</v>
      </c>
      <c r="C16" s="4"/>
      <c r="D16" s="5">
        <f>+'Balance (C&amp;C)'!C26</f>
        <v>0</v>
      </c>
      <c r="E16" s="5">
        <f>-'Balance (C&amp;C)'!C26+'Balance (C&amp;C)'!D26</f>
        <v>0</v>
      </c>
      <c r="F16" s="5">
        <f>-'Balance (C&amp;C)'!D26+'Balance (C&amp;C)'!E26</f>
        <v>0</v>
      </c>
      <c r="G16" s="5">
        <f>-'Balance (C&amp;C)'!E26+'Balance (C&amp;C)'!F26</f>
        <v>0</v>
      </c>
      <c r="H16" s="5">
        <f>-'Balance (C&amp;C)'!F26+'Balance (C&amp;C)'!G26</f>
        <v>0</v>
      </c>
      <c r="I16" s="5">
        <f>-'Balance (C&amp;C)'!G26+'Balance (C&amp;C)'!H26</f>
        <v>0</v>
      </c>
      <c r="J16" s="5">
        <f>-'Balance (C&amp;C)'!H26+'Balance (C&amp;C)'!I26</f>
        <v>0</v>
      </c>
      <c r="K16" s="5">
        <v>0</v>
      </c>
      <c r="L16" s="87">
        <v>0</v>
      </c>
      <c r="M16" s="87">
        <v>0</v>
      </c>
      <c r="N16" s="87">
        <v>0</v>
      </c>
      <c r="O16" s="87">
        <v>0</v>
      </c>
      <c r="P16" s="79">
        <v>0</v>
      </c>
      <c r="Q16" s="79">
        <v>0</v>
      </c>
      <c r="R16" s="79">
        <v>0</v>
      </c>
      <c r="S16" s="79">
        <f>+'[1]Demonstração de Resultados'!R39-'[1]Demonstração de Resultados'!Q39+'[1]Demonstração de Resultados'!R54-'[1]Demonstração de Resultados'!Q54</f>
        <v>0</v>
      </c>
      <c r="T16" s="79">
        <f>+'[1]Demonstração de Resultados'!S39-'[1]Demonstração de Resultados'!R39+'[1]Demonstração de Resultados'!S54-'[1]Demonstração de Resultados'!R54</f>
        <v>0</v>
      </c>
      <c r="U16" s="79">
        <f>+'[1]Demonstração de Resultados'!T39-'[1]Demonstração de Resultados'!S39+'[1]Demonstração de Resultados'!T54-'[1]Demonstração de Resultados'!S54</f>
        <v>0</v>
      </c>
      <c r="V16" s="79">
        <f>+'[1]Demonstração de Resultados'!U39-'[1]Demonstração de Resultados'!T39+'[1]Demonstração de Resultados'!U54-'[1]Demonstração de Resultados'!T54</f>
        <v>0</v>
      </c>
      <c r="W16" s="79">
        <f>+'[1]Demonstração de Resultados'!V39-'[1]Demonstração de Resultados'!U39+'[1]Demonstração de Resultados'!V54-'[1]Demonstração de Resultados'!U54</f>
        <v>0</v>
      </c>
    </row>
    <row r="17" spans="2:23 16384:16384" x14ac:dyDescent="0.3">
      <c r="B17" s="6" t="s">
        <v>63</v>
      </c>
      <c r="C17" s="4"/>
      <c r="D17" s="5">
        <f>+'Balance (C&amp;C)'!C17+'Balance (C&amp;C)'!C18+'Balance (C&amp;C)'!C19</f>
        <v>23904992.899999999</v>
      </c>
      <c r="E17" s="5"/>
      <c r="F17" s="5"/>
      <c r="G17" s="5"/>
      <c r="H17" s="5"/>
      <c r="I17" s="5"/>
      <c r="J17" s="5"/>
      <c r="K17" s="5"/>
      <c r="L17" s="87"/>
      <c r="M17" s="87"/>
      <c r="N17" s="87"/>
      <c r="O17" s="87"/>
      <c r="P17" s="79"/>
      <c r="Q17" s="79"/>
      <c r="R17" s="79"/>
      <c r="S17" s="79"/>
      <c r="T17" s="79"/>
      <c r="U17" s="79"/>
      <c r="V17" s="79"/>
      <c r="W17" s="79"/>
    </row>
    <row r="18" spans="2:23 16384:16384" ht="4.4000000000000004" customHeight="1" x14ac:dyDescent="0.3">
      <c r="B18" s="6"/>
      <c r="C18" s="4"/>
      <c r="D18" s="5"/>
      <c r="E18" s="5"/>
      <c r="F18" s="5"/>
      <c r="G18" s="5"/>
      <c r="H18" s="5"/>
      <c r="I18" s="5"/>
      <c r="J18" s="5"/>
      <c r="K18" s="5"/>
      <c r="L18" s="87"/>
      <c r="M18" s="87"/>
      <c r="N18" s="87"/>
      <c r="O18" s="87"/>
      <c r="P18" s="79"/>
      <c r="Q18" s="79"/>
      <c r="R18" s="79"/>
      <c r="S18" s="79"/>
      <c r="T18" s="79"/>
      <c r="U18" s="79"/>
      <c r="V18" s="79"/>
      <c r="W18" s="79"/>
    </row>
    <row r="19" spans="2:23 16384:16384" s="23" customFormat="1" ht="13.5" thickBot="1" x14ac:dyDescent="0.35">
      <c r="B19" s="8" t="s">
        <v>64</v>
      </c>
      <c r="C19" s="8"/>
      <c r="D19" s="9">
        <f>+D14+D16+D17</f>
        <v>24968795.93</v>
      </c>
      <c r="E19" s="9">
        <f t="shared" ref="E19:W19" si="5">+E14+E16+E17</f>
        <v>1552803.1174020413</v>
      </c>
      <c r="F19" s="9">
        <f t="shared" si="5"/>
        <v>2520205.6485628318</v>
      </c>
      <c r="G19" s="9">
        <f t="shared" si="5"/>
        <v>3428225.802912361</v>
      </c>
      <c r="H19" s="9">
        <f t="shared" si="5"/>
        <v>4700937.9633398633</v>
      </c>
      <c r="I19" s="9">
        <f t="shared" si="5"/>
        <v>6405749.7462679101</v>
      </c>
      <c r="J19" s="9">
        <f t="shared" si="5"/>
        <v>8034740.900296567</v>
      </c>
      <c r="K19" s="9">
        <f t="shared" si="5"/>
        <v>8873081.029280616</v>
      </c>
      <c r="L19" s="88">
        <f t="shared" si="5"/>
        <v>10038959.538778514</v>
      </c>
      <c r="M19" s="88">
        <f t="shared" si="5"/>
        <v>11100790.491664331</v>
      </c>
      <c r="N19" s="88">
        <f t="shared" si="5"/>
        <v>11938250.797304854</v>
      </c>
      <c r="O19" s="88">
        <f t="shared" si="5"/>
        <v>12781513.076258514</v>
      </c>
      <c r="P19" s="80">
        <f t="shared" si="5"/>
        <v>0</v>
      </c>
      <c r="Q19" s="80">
        <f t="shared" si="5"/>
        <v>0</v>
      </c>
      <c r="R19" s="80">
        <f t="shared" si="5"/>
        <v>0</v>
      </c>
      <c r="S19" s="80">
        <f t="shared" si="5"/>
        <v>0</v>
      </c>
      <c r="T19" s="80">
        <f t="shared" si="5"/>
        <v>0</v>
      </c>
      <c r="U19" s="80">
        <f t="shared" si="5"/>
        <v>0</v>
      </c>
      <c r="V19" s="80">
        <f t="shared" si="5"/>
        <v>0</v>
      </c>
      <c r="W19" s="80">
        <f t="shared" si="5"/>
        <v>0</v>
      </c>
    </row>
    <row r="20" spans="2:23 16384:16384" s="23" customFormat="1" ht="3" customHeight="1" thickTop="1" x14ac:dyDescent="0.3">
      <c r="D20" s="25"/>
      <c r="E20" s="25"/>
      <c r="F20" s="25"/>
      <c r="G20" s="25"/>
      <c r="H20" s="25"/>
      <c r="I20" s="25"/>
      <c r="J20" s="25"/>
      <c r="K20" s="25"/>
      <c r="L20" s="89"/>
      <c r="M20" s="89"/>
      <c r="N20" s="89"/>
      <c r="O20" s="89"/>
      <c r="P20" s="81"/>
      <c r="Q20" s="81"/>
      <c r="R20" s="81"/>
      <c r="S20" s="81"/>
      <c r="T20" s="81"/>
      <c r="U20" s="81"/>
      <c r="V20" s="81"/>
      <c r="W20" s="81"/>
    </row>
    <row r="21" spans="2:23 16384:16384" x14ac:dyDescent="0.3">
      <c r="B21" s="6" t="s">
        <v>65</v>
      </c>
      <c r="C21" s="4"/>
      <c r="D21" s="5">
        <f>+'Balance (C&amp;C)'!C6-'Cash-Flow (C&amp;C)'!C21</f>
        <v>1428310.17</v>
      </c>
      <c r="E21" s="5">
        <f>+'Balance (C&amp;C)'!D4-'Balance (C&amp;C)'!C4</f>
        <v>277440.09850000008</v>
      </c>
      <c r="F21" s="5">
        <f>+'Balance (C&amp;C)'!E4-'Balance (C&amp;C)'!D4</f>
        <v>485520.17237499985</v>
      </c>
      <c r="G21" s="5">
        <f>+'Balance (C&amp;C)'!F4-'Balance (C&amp;C)'!E4</f>
        <v>631176.22408750001</v>
      </c>
      <c r="H21" s="5">
        <f>+'Balance (C&amp;C)'!G4-'Balance (C&amp;C)'!F4</f>
        <v>820529.09131375002</v>
      </c>
      <c r="I21" s="5">
        <f>+'Balance (C&amp;C)'!H4-'Balance (C&amp;C)'!G4</f>
        <v>1066687.818707875</v>
      </c>
      <c r="J21" s="5">
        <f>+'Balance (C&amp;C)'!I4-'Balance (C&amp;C)'!H4</f>
        <v>1386694.1643202379</v>
      </c>
      <c r="K21" s="5">
        <f>+'Balance (C&amp;C)'!J4-'Balance (C&amp;C)'!I4</f>
        <v>1664032.997184285</v>
      </c>
      <c r="L21" s="87">
        <f>+'Balance (C&amp;C)'!K4-'Balance (C&amp;C)'!J4</f>
        <v>1872037.1218323205</v>
      </c>
      <c r="M21" s="87">
        <f>+'Balance (C&amp;C)'!L4-'Balance (C&amp;C)'!K4</f>
        <v>2059240.8340155538</v>
      </c>
      <c r="N21" s="87">
        <f>+'Balance (C&amp;C)'!M4-'Balance (C&amp;C)'!L4</f>
        <v>2265164.917417109</v>
      </c>
      <c r="O21" s="87">
        <f>+'Balance (C&amp;C)'!N4-'Balance (C&amp;C)'!M4</f>
        <v>2435052.2862233911</v>
      </c>
      <c r="P21" s="79"/>
      <c r="Q21" s="79">
        <f>+'Balance (C&amp;C)'!P4-'Balance (C&amp;C)'!O4</f>
        <v>0</v>
      </c>
      <c r="R21" s="79"/>
      <c r="S21" s="79"/>
      <c r="T21" s="79"/>
      <c r="U21" s="79"/>
      <c r="V21" s="79"/>
      <c r="W21" s="79"/>
      <c r="XFD21" s="5"/>
    </row>
    <row r="22" spans="2:23 16384:16384" x14ac:dyDescent="0.3">
      <c r="B22" s="6" t="s">
        <v>66</v>
      </c>
      <c r="C22" s="4"/>
      <c r="D22" s="5"/>
      <c r="E22" s="5"/>
      <c r="F22" s="5"/>
      <c r="G22" s="5"/>
      <c r="H22" s="5"/>
      <c r="I22" s="5"/>
      <c r="J22" s="5"/>
      <c r="K22" s="5"/>
      <c r="L22" s="87"/>
      <c r="M22" s="87"/>
      <c r="N22" s="87"/>
      <c r="O22" s="87"/>
      <c r="P22" s="79"/>
      <c r="Q22" s="79"/>
      <c r="R22" s="79"/>
      <c r="S22" s="79"/>
      <c r="T22" s="79"/>
      <c r="U22" s="79"/>
      <c r="V22" s="79"/>
      <c r="W22" s="79"/>
    </row>
    <row r="23" spans="2:23 16384:16384" x14ac:dyDescent="0.3">
      <c r="B23" s="6" t="s">
        <v>67</v>
      </c>
      <c r="C23" s="4"/>
      <c r="D23" s="5"/>
      <c r="E23" s="5"/>
      <c r="F23" s="5"/>
      <c r="G23" s="5"/>
      <c r="H23" s="5"/>
      <c r="I23" s="5"/>
      <c r="J23" s="5"/>
      <c r="K23" s="5"/>
      <c r="L23" s="87"/>
      <c r="M23" s="87"/>
      <c r="N23" s="87"/>
      <c r="O23" s="87"/>
      <c r="P23" s="79"/>
      <c r="Q23" s="79"/>
      <c r="R23" s="79"/>
      <c r="S23" s="79"/>
      <c r="T23" s="79"/>
      <c r="U23" s="79"/>
      <c r="V23" s="79"/>
      <c r="W23" s="79"/>
    </row>
    <row r="24" spans="2:23 16384:16384" ht="3" customHeight="1" x14ac:dyDescent="0.3">
      <c r="D24" s="7"/>
      <c r="E24" s="7"/>
      <c r="F24" s="7"/>
      <c r="G24" s="7"/>
      <c r="H24" s="7"/>
      <c r="I24" s="7"/>
      <c r="J24" s="7"/>
      <c r="K24" s="7"/>
      <c r="L24" s="90"/>
      <c r="M24" s="90"/>
      <c r="N24" s="90"/>
      <c r="O24" s="90"/>
      <c r="P24" s="82"/>
      <c r="Q24" s="82"/>
      <c r="R24" s="82"/>
      <c r="S24" s="82"/>
      <c r="T24" s="82"/>
      <c r="U24" s="82"/>
      <c r="V24" s="82"/>
      <c r="W24" s="82"/>
    </row>
    <row r="25" spans="2:23 16384:16384" ht="13.5" thickBot="1" x14ac:dyDescent="0.35">
      <c r="B25" s="8" t="s">
        <v>68</v>
      </c>
      <c r="C25" s="8"/>
      <c r="D25" s="9">
        <f>+D19-D21</f>
        <v>23540485.759999998</v>
      </c>
      <c r="E25" s="9">
        <f t="shared" ref="E25:W25" si="6">+E19-E21</f>
        <v>1275363.0189020413</v>
      </c>
      <c r="F25" s="9">
        <f>+F19-F21-F23</f>
        <v>2034685.476187832</v>
      </c>
      <c r="G25" s="9">
        <f t="shared" ref="G25:O25" si="7">+G19-G21-G23</f>
        <v>2797049.578824861</v>
      </c>
      <c r="H25" s="9">
        <f t="shared" si="7"/>
        <v>3880408.8720261133</v>
      </c>
      <c r="I25" s="9">
        <f t="shared" si="7"/>
        <v>5339061.9275600351</v>
      </c>
      <c r="J25" s="9">
        <f t="shared" si="7"/>
        <v>6648046.7359763291</v>
      </c>
      <c r="K25" s="9">
        <f t="shared" si="7"/>
        <v>7209048.032096331</v>
      </c>
      <c r="L25" s="88">
        <f t="shared" si="7"/>
        <v>8166922.4169461932</v>
      </c>
      <c r="M25" s="88">
        <f t="shared" si="7"/>
        <v>9041549.6576487776</v>
      </c>
      <c r="N25" s="88">
        <f t="shared" si="7"/>
        <v>9673085.8798877448</v>
      </c>
      <c r="O25" s="88">
        <f t="shared" si="7"/>
        <v>10346460.790035123</v>
      </c>
      <c r="P25" s="80">
        <f t="shared" si="6"/>
        <v>0</v>
      </c>
      <c r="Q25" s="80">
        <f t="shared" si="6"/>
        <v>0</v>
      </c>
      <c r="R25" s="80">
        <f t="shared" si="6"/>
        <v>0</v>
      </c>
      <c r="S25" s="80">
        <f t="shared" si="6"/>
        <v>0</v>
      </c>
      <c r="T25" s="80">
        <f t="shared" si="6"/>
        <v>0</v>
      </c>
      <c r="U25" s="80">
        <f t="shared" si="6"/>
        <v>0</v>
      </c>
      <c r="V25" s="80">
        <f t="shared" si="6"/>
        <v>0</v>
      </c>
      <c r="W25" s="80">
        <f t="shared" si="6"/>
        <v>0</v>
      </c>
    </row>
    <row r="26" spans="2:23 16384:16384" ht="13.5" thickTop="1" x14ac:dyDescent="0.3">
      <c r="D26" s="7"/>
      <c r="E26" s="7"/>
      <c r="F26" s="7"/>
      <c r="G26" s="7"/>
      <c r="H26" s="7"/>
      <c r="I26" s="7"/>
      <c r="J26" s="7"/>
      <c r="K26" s="7"/>
      <c r="L26" s="90"/>
      <c r="M26" s="90"/>
      <c r="N26" s="90"/>
      <c r="O26" s="90"/>
      <c r="P26" s="82"/>
      <c r="Q26" s="82"/>
      <c r="R26" s="82"/>
      <c r="S26" s="82"/>
      <c r="T26" s="82"/>
      <c r="U26" s="82"/>
      <c r="V26" s="82"/>
      <c r="W26" s="82"/>
    </row>
    <row r="27" spans="2:23 16384:16384" ht="26.15" customHeight="1" x14ac:dyDescent="0.3">
      <c r="D27" s="7"/>
      <c r="E27" s="7"/>
      <c r="F27" s="7"/>
      <c r="G27" s="7"/>
      <c r="H27" s="7"/>
      <c r="I27" s="7"/>
      <c r="J27" s="7"/>
      <c r="K27" s="7"/>
      <c r="L27" s="90"/>
      <c r="M27" s="90"/>
      <c r="N27" s="90"/>
      <c r="O27" s="90"/>
      <c r="P27" s="82"/>
      <c r="Q27" s="82"/>
      <c r="R27" s="82"/>
      <c r="S27" s="82"/>
      <c r="T27" s="82"/>
      <c r="U27" s="82"/>
      <c r="V27" s="82"/>
      <c r="W27" s="82"/>
    </row>
    <row r="28" spans="2:23 16384:16384" x14ac:dyDescent="0.3">
      <c r="D28" s="7"/>
      <c r="E28" s="7"/>
      <c r="F28" s="7"/>
      <c r="G28" s="7"/>
      <c r="H28" s="7"/>
      <c r="I28" s="7"/>
      <c r="J28" s="7"/>
      <c r="K28" s="7"/>
      <c r="L28" s="90"/>
      <c r="M28" s="90"/>
      <c r="N28" s="90"/>
      <c r="O28" s="90"/>
      <c r="P28" s="82"/>
      <c r="Q28" s="82"/>
      <c r="R28" s="82"/>
      <c r="S28" s="82"/>
      <c r="T28" s="82"/>
      <c r="U28" s="82"/>
      <c r="V28" s="82"/>
      <c r="W28" s="82"/>
    </row>
    <row r="29" spans="2:23 16384:16384" x14ac:dyDescent="0.3">
      <c r="B29" s="1" t="s">
        <v>69</v>
      </c>
      <c r="D29" s="7">
        <f>+SUM('Balance (C&amp;C)'!C8:C11)-SUM('Balance (C&amp;C)'!C29:C33)</f>
        <v>157681.10000000033</v>
      </c>
      <c r="E29" s="7">
        <f>+SUM('Balance (C&amp;C)'!D8:D11)-SUM('Balance (C&amp;C)'!D29:D33)</f>
        <v>429078.9509250042</v>
      </c>
      <c r="F29" s="7">
        <f>+SUM('Balance (C&amp;C)'!E8:E11)-SUM('Balance (C&amp;C)'!E29:E33)</f>
        <v>379141.39846345875</v>
      </c>
      <c r="G29" s="7">
        <f>+SUM('Balance (C&amp;C)'!F8:F11)-SUM('Balance (C&amp;C)'!F29:F33)</f>
        <v>290988.71078064479</v>
      </c>
      <c r="H29" s="7">
        <f>+SUM('Balance (C&amp;C)'!G8:G11)-SUM('Balance (C&amp;C)'!G29:G33)</f>
        <v>99711.773132587783</v>
      </c>
      <c r="I29" s="7">
        <f>+SUM('Balance (C&amp;C)'!H8:H11)-SUM('Balance (C&amp;C)'!H29:H33)</f>
        <v>-225351.66123582795</v>
      </c>
      <c r="J29" s="7">
        <f>+SUM('Balance (C&amp;C)'!I8:I11)-SUM('Balance (C&amp;C)'!I29:I33)</f>
        <v>-685417.46274079569</v>
      </c>
      <c r="K29" s="7">
        <f>+SUM('Balance (C&amp;C)'!J8:J11)-SUM('Balance (C&amp;C)'!J29:J33)</f>
        <v>-769003.16752226092</v>
      </c>
      <c r="L29" s="90">
        <f>+SUM('Balance (C&amp;C)'!K8:K11)-SUM('Balance (C&amp;C)'!K29:K33)</f>
        <v>-786893.88526652008</v>
      </c>
      <c r="M29" s="90">
        <f>+SUM('Balance (C&amp;C)'!L8:L11)-SUM('Balance (C&amp;C)'!L29:L33)</f>
        <v>-840352.2750833109</v>
      </c>
      <c r="N29" s="90">
        <f>+SUM('Balance (C&amp;C)'!M8:M11)-SUM('Balance (C&amp;C)'!M29:M33)</f>
        <v>-954739.44296501204</v>
      </c>
      <c r="O29" s="90">
        <f>+SUM('Balance (C&amp;C)'!N8:N11)-SUM('Balance (C&amp;C)'!N29:N33)</f>
        <v>-1084082.7827839814</v>
      </c>
      <c r="P29" s="82">
        <f>+SUM('Balance (C&amp;C)'!O8:O11)-SUM('Balance (C&amp;C)'!O29:O33)</f>
        <v>0</v>
      </c>
      <c r="Q29" s="82">
        <f>+SUM('Balance (C&amp;C)'!P8:P11)-SUM('Balance (C&amp;C)'!P29:P33)</f>
        <v>0</v>
      </c>
      <c r="R29" s="82">
        <f>+SUM('Balance (C&amp;C)'!Q8:Q11)-SUM('Balance (C&amp;C)'!Q29:Q33)</f>
        <v>0</v>
      </c>
      <c r="S29" s="82">
        <f>+SUM('Balance (C&amp;C)'!R8:R11)-SUM('Balance (C&amp;C)'!R29:R33)</f>
        <v>0</v>
      </c>
      <c r="T29" s="82">
        <f>+SUM('Balance (C&amp;C)'!S8:S11)-SUM('Balance (C&amp;C)'!S29:S33)</f>
        <v>0</v>
      </c>
      <c r="U29" s="82">
        <f>+SUM('Balance (C&amp;C)'!T8:T11)-SUM('Balance (C&amp;C)'!T29:T33)</f>
        <v>0</v>
      </c>
      <c r="V29" s="82">
        <f>+SUM('Balance (C&amp;C)'!U8:U11)-SUM('Balance (C&amp;C)'!U29:U33)</f>
        <v>0</v>
      </c>
      <c r="W29" s="82">
        <f>+SUM('Balance (C&amp;C)'!V8:V11)-SUM('Balance (C&amp;C)'!V29:V33)</f>
        <v>0</v>
      </c>
    </row>
    <row r="30" spans="2:23 16384:16384" x14ac:dyDescent="0.3">
      <c r="L30" s="91"/>
      <c r="M30" s="91"/>
      <c r="N30" s="91"/>
      <c r="O30" s="91"/>
      <c r="P30" s="83"/>
      <c r="Q30" s="83"/>
      <c r="R30" s="83"/>
      <c r="S30" s="83"/>
      <c r="T30" s="83"/>
      <c r="U30" s="83"/>
      <c r="V30" s="83"/>
      <c r="W30" s="83"/>
    </row>
    <row r="31" spans="2:23 16384:16384" ht="13.5" thickBot="1" x14ac:dyDescent="0.35">
      <c r="B31" s="8" t="s">
        <v>70</v>
      </c>
      <c r="C31" s="8"/>
      <c r="D31" s="9">
        <f>+D9-D11</f>
        <v>1063803.0299999993</v>
      </c>
      <c r="E31" s="9">
        <f t="shared" ref="E31:W31" si="8">+E9-E11</f>
        <v>1552803.1174020413</v>
      </c>
      <c r="F31" s="9">
        <f>+F9-F11-F23</f>
        <v>2520205.6485628318</v>
      </c>
      <c r="G31" s="9">
        <f t="shared" ref="G31:O31" si="9">+G9-G11-G23</f>
        <v>3428225.802912361</v>
      </c>
      <c r="H31" s="9">
        <f t="shared" si="9"/>
        <v>4700937.9633398633</v>
      </c>
      <c r="I31" s="9">
        <f t="shared" si="9"/>
        <v>6405749.7462679101</v>
      </c>
      <c r="J31" s="9">
        <f t="shared" si="9"/>
        <v>8034740.900296567</v>
      </c>
      <c r="K31" s="9">
        <f t="shared" si="9"/>
        <v>8873081.029280616</v>
      </c>
      <c r="L31" s="88">
        <f t="shared" si="9"/>
        <v>10038959.538778514</v>
      </c>
      <c r="M31" s="88">
        <f t="shared" si="9"/>
        <v>11100790.491664331</v>
      </c>
      <c r="N31" s="88">
        <f t="shared" si="9"/>
        <v>11938250.797304854</v>
      </c>
      <c r="O31" s="88">
        <f t="shared" si="9"/>
        <v>12781513.076258514</v>
      </c>
      <c r="P31" s="80">
        <f t="shared" si="8"/>
        <v>0</v>
      </c>
      <c r="Q31" s="80">
        <f t="shared" si="8"/>
        <v>0</v>
      </c>
      <c r="R31" s="80">
        <f t="shared" si="8"/>
        <v>0</v>
      </c>
      <c r="S31" s="80">
        <f t="shared" si="8"/>
        <v>0</v>
      </c>
      <c r="T31" s="80">
        <f t="shared" si="8"/>
        <v>0</v>
      </c>
      <c r="U31" s="80">
        <f t="shared" si="8"/>
        <v>0</v>
      </c>
      <c r="V31" s="80">
        <f t="shared" si="8"/>
        <v>0</v>
      </c>
      <c r="W31" s="80">
        <f t="shared" si="8"/>
        <v>0</v>
      </c>
    </row>
    <row r="32" spans="2:23 16384:16384" ht="13.5" thickTop="1" x14ac:dyDescent="0.3">
      <c r="L32" s="91"/>
      <c r="M32" s="91"/>
      <c r="N32" s="91"/>
      <c r="O32" s="91"/>
      <c r="P32" s="83"/>
      <c r="Q32" s="83"/>
      <c r="R32" s="83"/>
      <c r="S32" s="83"/>
      <c r="T32" s="83"/>
      <c r="U32" s="83"/>
      <c r="V32" s="83"/>
      <c r="W32" s="83"/>
    </row>
    <row r="33" spans="2:23" hidden="1" x14ac:dyDescent="0.3">
      <c r="L33" s="91"/>
      <c r="M33" s="91"/>
      <c r="N33" s="91"/>
      <c r="O33" s="91"/>
      <c r="P33" s="83"/>
      <c r="Q33" s="83"/>
      <c r="R33" s="83"/>
      <c r="S33" s="83"/>
      <c r="T33" s="83"/>
      <c r="U33" s="83"/>
      <c r="V33" s="83"/>
      <c r="W33" s="83"/>
    </row>
    <row r="34" spans="2:23" hidden="1" x14ac:dyDescent="0.3">
      <c r="L34" s="91"/>
      <c r="M34" s="91"/>
      <c r="N34" s="91"/>
      <c r="O34" s="91"/>
      <c r="P34" s="83"/>
      <c r="Q34" s="83"/>
      <c r="R34" s="83"/>
      <c r="S34" s="83"/>
      <c r="T34" s="83"/>
      <c r="U34" s="83"/>
      <c r="V34" s="83"/>
      <c r="W34" s="83"/>
    </row>
    <row r="35" spans="2:23" x14ac:dyDescent="0.3">
      <c r="B35" s="26" t="s">
        <v>71</v>
      </c>
      <c r="C35" s="26"/>
      <c r="D35" s="27">
        <f>+D65</f>
        <v>0.11088000000000001</v>
      </c>
      <c r="F35" s="7"/>
      <c r="L35" s="91"/>
      <c r="M35" s="91"/>
      <c r="N35" s="91"/>
      <c r="O35" s="91"/>
      <c r="P35" s="83"/>
      <c r="Q35" s="83"/>
      <c r="R35" s="83"/>
      <c r="S35" s="83"/>
      <c r="T35" s="83"/>
      <c r="U35" s="83"/>
      <c r="V35" s="83"/>
      <c r="W35" s="83"/>
    </row>
    <row r="36" spans="2:23" x14ac:dyDescent="0.3">
      <c r="B36" s="26"/>
      <c r="C36" s="26"/>
      <c r="D36" s="27"/>
      <c r="F36" s="7"/>
      <c r="L36" s="91"/>
      <c r="M36" s="91"/>
      <c r="N36" s="91"/>
      <c r="O36" s="91"/>
      <c r="P36" s="83"/>
      <c r="Q36" s="83"/>
      <c r="R36" s="83"/>
      <c r="S36" s="83"/>
      <c r="T36" s="83"/>
      <c r="U36" s="83"/>
      <c r="V36" s="83"/>
      <c r="W36" s="83"/>
    </row>
    <row r="37" spans="2:23" ht="13.5" thickBot="1" x14ac:dyDescent="0.35">
      <c r="B37" s="8" t="s">
        <v>140</v>
      </c>
      <c r="C37" s="8"/>
      <c r="D37" s="8"/>
      <c r="E37" s="9">
        <f>E31/((1+$D$35)^1)</f>
        <v>1397813.5508804203</v>
      </c>
      <c r="F37" s="9">
        <f>F31/((1+$D$35)^2)</f>
        <v>2042216.0488577832</v>
      </c>
      <c r="G37" s="9">
        <f>G31/((1+$D$35)^3)</f>
        <v>2500736.7454991825</v>
      </c>
      <c r="H37" s="9">
        <f>H31/((1+$D$35)^4)</f>
        <v>3086852.8581387503</v>
      </c>
      <c r="I37" s="9">
        <f>I31/((1+$D$35)^5)</f>
        <v>3786467.4559913934</v>
      </c>
      <c r="J37" s="9">
        <f>J31/((1+$D$35)^6)</f>
        <v>4275323.568863811</v>
      </c>
      <c r="K37" s="9">
        <f>K31/((1+$D$35)^7)</f>
        <v>4250151.5102413418</v>
      </c>
      <c r="L37" s="88">
        <f>L31/((1+$D$35)^8)</f>
        <v>4328640.5202869354</v>
      </c>
      <c r="M37" s="88">
        <f>M31/((1+$D$35)^9)</f>
        <v>4308732.9209824558</v>
      </c>
      <c r="N37" s="88">
        <f>N31/((1+$D$35)^10)</f>
        <v>4171278.8089730088</v>
      </c>
      <c r="O37" s="88">
        <f>O31/((1+$D$35)^11)</f>
        <v>4020162.8098105863</v>
      </c>
      <c r="P37" s="80">
        <f t="shared" ref="P37:W37" si="10">P31/((1+$D$35)^1)</f>
        <v>0</v>
      </c>
      <c r="Q37" s="80">
        <f t="shared" si="10"/>
        <v>0</v>
      </c>
      <c r="R37" s="80">
        <f t="shared" si="10"/>
        <v>0</v>
      </c>
      <c r="S37" s="80">
        <f t="shared" si="10"/>
        <v>0</v>
      </c>
      <c r="T37" s="80">
        <f t="shared" si="10"/>
        <v>0</v>
      </c>
      <c r="U37" s="80">
        <f t="shared" si="10"/>
        <v>0</v>
      </c>
      <c r="V37" s="80">
        <f t="shared" si="10"/>
        <v>0</v>
      </c>
      <c r="W37" s="80">
        <f t="shared" si="10"/>
        <v>0</v>
      </c>
    </row>
    <row r="38" spans="2:23" ht="13.5" thickTop="1" x14ac:dyDescent="0.3">
      <c r="B38" s="26"/>
      <c r="C38" s="26"/>
      <c r="D38" s="27"/>
      <c r="F38" s="7"/>
    </row>
    <row r="39" spans="2:23" ht="1.5" customHeight="1" x14ac:dyDescent="0.3">
      <c r="B39" s="6" t="s">
        <v>72</v>
      </c>
      <c r="C39" s="4">
        <v>0</v>
      </c>
      <c r="D39" s="4">
        <v>0</v>
      </c>
      <c r="E39" s="4">
        <v>1</v>
      </c>
      <c r="F39" s="4">
        <v>2</v>
      </c>
      <c r="G39" s="4">
        <v>3</v>
      </c>
      <c r="H39" s="4">
        <v>4</v>
      </c>
      <c r="I39" s="4">
        <v>5</v>
      </c>
      <c r="J39" s="4">
        <v>6</v>
      </c>
      <c r="K39" s="4">
        <v>7</v>
      </c>
      <c r="L39" s="4">
        <v>8</v>
      </c>
      <c r="M39" s="4">
        <v>9</v>
      </c>
      <c r="N39" s="4">
        <v>10</v>
      </c>
      <c r="O39" s="4">
        <v>11</v>
      </c>
      <c r="P39" s="4">
        <v>13</v>
      </c>
      <c r="Q39" s="4">
        <v>14</v>
      </c>
      <c r="R39" s="4">
        <v>15</v>
      </c>
      <c r="S39" s="4">
        <v>16</v>
      </c>
      <c r="T39" s="4">
        <v>17</v>
      </c>
      <c r="U39" s="4">
        <v>18</v>
      </c>
      <c r="V39" s="4">
        <v>19</v>
      </c>
      <c r="W39" s="4">
        <v>20</v>
      </c>
    </row>
    <row r="40" spans="2:23" hidden="1" x14ac:dyDescent="0.3">
      <c r="B40" s="6" t="s">
        <v>73</v>
      </c>
      <c r="C40" s="4">
        <f>1/(1+$D$35)^C39</f>
        <v>1</v>
      </c>
      <c r="D40" s="28">
        <f>1/(1+$D$35)^D39</f>
        <v>1</v>
      </c>
      <c r="E40" s="28">
        <f t="shared" ref="E40:W40" si="11">1/(1+$D$35)^E39</f>
        <v>0.90018723894570063</v>
      </c>
      <c r="F40" s="28">
        <f t="shared" si="11"/>
        <v>0.81033706516068404</v>
      </c>
      <c r="G40" s="28">
        <f t="shared" si="11"/>
        <v>0.72945508530235836</v>
      </c>
      <c r="H40" s="28">
        <f t="shared" si="11"/>
        <v>0.65664615917323055</v>
      </c>
      <c r="I40" s="28">
        <f t="shared" si="11"/>
        <v>0.59110449299044954</v>
      </c>
      <c r="J40" s="28">
        <f t="shared" si="11"/>
        <v>0.53210472147347099</v>
      </c>
      <c r="K40" s="28">
        <f t="shared" si="11"/>
        <v>0.47899388005317495</v>
      </c>
      <c r="L40" s="28">
        <f t="shared" si="11"/>
        <v>0.43118417835695566</v>
      </c>
      <c r="M40" s="28">
        <f t="shared" si="11"/>
        <v>0.38814649499221843</v>
      </c>
      <c r="N40" s="28">
        <f t="shared" si="11"/>
        <v>0.34940452163349633</v>
      </c>
      <c r="O40" s="28">
        <f t="shared" si="11"/>
        <v>0.31452949160440041</v>
      </c>
      <c r="P40" s="28">
        <f t="shared" si="11"/>
        <v>0.25487490513319178</v>
      </c>
      <c r="Q40" s="28">
        <f t="shared" si="11"/>
        <v>0.22943513712839533</v>
      </c>
      <c r="R40" s="28">
        <f t="shared" si="11"/>
        <v>0.20653458260873839</v>
      </c>
      <c r="S40" s="28">
        <f t="shared" si="11"/>
        <v>0.18591979566536293</v>
      </c>
      <c r="T40" s="28">
        <f t="shared" si="11"/>
        <v>0.16736262752535189</v>
      </c>
      <c r="U40" s="28">
        <f t="shared" si="11"/>
        <v>0.15065770157474426</v>
      </c>
      <c r="V40" s="28">
        <f t="shared" si="11"/>
        <v>0.13562014040647435</v>
      </c>
      <c r="W40" s="28">
        <f t="shared" si="11"/>
        <v>0.1220835197379324</v>
      </c>
    </row>
    <row r="42" spans="2:23" ht="13.5" thickBot="1" x14ac:dyDescent="0.35">
      <c r="B42" s="8" t="s">
        <v>140</v>
      </c>
      <c r="C42" s="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</row>
    <row r="43" spans="2:23" ht="13.5" thickTop="1" x14ac:dyDescent="0.3">
      <c r="B43" s="17" t="s">
        <v>71</v>
      </c>
      <c r="C43" s="86">
        <f>D65</f>
        <v>0.11088000000000001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</row>
    <row r="44" spans="2:23" x14ac:dyDescent="0.3">
      <c r="B44" s="17" t="s">
        <v>142</v>
      </c>
      <c r="C44" s="86">
        <v>0.02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</row>
    <row r="45" spans="2:23" x14ac:dyDescent="0.3">
      <c r="B45" s="17" t="s">
        <v>143</v>
      </c>
      <c r="C45" s="18">
        <f>O31*(1+C44)</f>
        <v>13037143.337783685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</row>
    <row r="46" spans="2:23" x14ac:dyDescent="0.3">
      <c r="B46" s="20" t="s">
        <v>141</v>
      </c>
      <c r="C46" s="21">
        <f>C45/((C43-C44)*(1+C43)^11)</f>
        <v>45120665.338983253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2:23" x14ac:dyDescent="0.3">
      <c r="B47" s="84"/>
      <c r="C47" s="85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2:23" x14ac:dyDescent="0.3">
      <c r="B48" s="20" t="s">
        <v>144</v>
      </c>
      <c r="C48" s="21">
        <f>SUM(E37:O37)+C46</f>
        <v>83289042.137508929</v>
      </c>
    </row>
    <row r="50" spans="2:4" ht="13.5" thickBot="1" x14ac:dyDescent="0.35">
      <c r="B50" s="8" t="s">
        <v>146</v>
      </c>
      <c r="C50" s="8"/>
    </row>
    <row r="51" spans="2:4" ht="13.5" thickTop="1" x14ac:dyDescent="0.3">
      <c r="B51" s="17" t="s">
        <v>147</v>
      </c>
      <c r="C51" s="18">
        <v>0</v>
      </c>
    </row>
    <row r="52" spans="2:4" x14ac:dyDescent="0.3">
      <c r="B52" s="17" t="s">
        <v>148</v>
      </c>
      <c r="C52" s="18">
        <f>'Balance (C&amp;C)'!C12</f>
        <v>900693.33</v>
      </c>
    </row>
    <row r="53" spans="2:4" x14ac:dyDescent="0.3">
      <c r="B53" s="20" t="s">
        <v>145</v>
      </c>
      <c r="C53" s="21">
        <f>C51-C52</f>
        <v>-900693.33</v>
      </c>
    </row>
    <row r="55" spans="2:4" x14ac:dyDescent="0.3">
      <c r="B55" s="20" t="s">
        <v>149</v>
      </c>
      <c r="C55" s="21">
        <f>C48-C53</f>
        <v>84189735.467508927</v>
      </c>
    </row>
    <row r="57" spans="2:4" ht="13.5" thickBot="1" x14ac:dyDescent="0.35">
      <c r="C57" s="1" t="s">
        <v>137</v>
      </c>
    </row>
    <row r="58" spans="2:4" ht="13.5" thickBot="1" x14ac:dyDescent="0.35">
      <c r="C58" s="30" t="s">
        <v>77</v>
      </c>
      <c r="D58" s="31"/>
    </row>
    <row r="59" spans="2:4" x14ac:dyDescent="0.3">
      <c r="C59" s="32" t="s">
        <v>138</v>
      </c>
      <c r="D59" s="33">
        <v>3.2000000000000001E-2</v>
      </c>
    </row>
    <row r="60" spans="2:4" x14ac:dyDescent="0.3">
      <c r="C60" s="32" t="s">
        <v>79</v>
      </c>
      <c r="D60" s="33">
        <v>0.09</v>
      </c>
    </row>
    <row r="61" spans="2:4" x14ac:dyDescent="0.3">
      <c r="C61" s="32" t="s">
        <v>80</v>
      </c>
      <c r="D61" s="33">
        <f>+D60-D59</f>
        <v>5.7999999999999996E-2</v>
      </c>
    </row>
    <row r="62" spans="2:4" ht="13.5" thickBot="1" x14ac:dyDescent="0.35">
      <c r="C62" s="32" t="s">
        <v>139</v>
      </c>
      <c r="D62" s="34">
        <v>1.36</v>
      </c>
    </row>
    <row r="63" spans="2:4" ht="13.5" thickBot="1" x14ac:dyDescent="0.35">
      <c r="C63" s="35" t="s">
        <v>83</v>
      </c>
      <c r="D63" s="36">
        <f>D59+D62*D61</f>
        <v>0.11088000000000001</v>
      </c>
    </row>
    <row r="64" spans="2:4" ht="13.5" thickBot="1" x14ac:dyDescent="0.35">
      <c r="C64" s="39" t="s">
        <v>88</v>
      </c>
      <c r="D64" s="40"/>
    </row>
    <row r="65" spans="2:5" ht="13.5" thickBot="1" x14ac:dyDescent="0.35">
      <c r="C65" s="46" t="s">
        <v>71</v>
      </c>
      <c r="D65" s="36">
        <f>D63</f>
        <v>0.11088000000000001</v>
      </c>
    </row>
    <row r="68" spans="2:5" x14ac:dyDescent="0.3">
      <c r="C68" s="4"/>
    </row>
    <row r="69" spans="2:5" x14ac:dyDescent="0.3">
      <c r="C69" s="92"/>
      <c r="D69" s="92"/>
    </row>
    <row r="70" spans="2:5" x14ac:dyDescent="0.3">
      <c r="B70" s="92"/>
      <c r="C70" s="93"/>
      <c r="D70" s="94"/>
      <c r="E70" s="95"/>
    </row>
    <row r="71" spans="2:5" x14ac:dyDescent="0.3">
      <c r="B71" s="92"/>
      <c r="C71" s="93"/>
      <c r="D71" s="94"/>
      <c r="E71" s="95"/>
    </row>
  </sheetData>
  <pageMargins left="0.75" right="0.75" top="1" bottom="1" header="0.5" footer="0.5"/>
  <pageSetup paperSize="9" orientation="portrait" horizontalDpi="4294967292" vertic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1C76C-61C3-4308-9424-4AC7D3A1D3B8}">
  <dimension ref="C4:AF22"/>
  <sheetViews>
    <sheetView showGridLines="0" topLeftCell="I1" zoomScaleNormal="100" workbookViewId="0">
      <selection activeCell="M26" sqref="M26"/>
    </sheetView>
  </sheetViews>
  <sheetFormatPr baseColWidth="10" defaultColWidth="11.08203125" defaultRowHeight="15.5" x14ac:dyDescent="0.35"/>
  <cols>
    <col min="4" max="4" width="14.58203125" bestFit="1" customWidth="1"/>
    <col min="5" max="11" width="16.08203125" bestFit="1" customWidth="1"/>
    <col min="12" max="12" width="16.5" bestFit="1" customWidth="1"/>
    <col min="13" max="13" width="16.08203125" bestFit="1" customWidth="1"/>
    <col min="14" max="14" width="17.5" bestFit="1" customWidth="1"/>
    <col min="15" max="16" width="17.5" customWidth="1"/>
  </cols>
  <sheetData>
    <row r="4" spans="3:32" x14ac:dyDescent="0.35">
      <c r="D4" s="47" t="s">
        <v>98</v>
      </c>
      <c r="E4" s="51">
        <f>'Balance (C&amp;C)'!C4</f>
        <v>1428310.17</v>
      </c>
      <c r="F4" s="51">
        <f>'Income Statement (C&amp;C)'!C4*'Assumptions (C&amp;C)'!F20</f>
        <v>277440.09850000002</v>
      </c>
      <c r="G4" s="51">
        <f>'Income Statement (C&amp;C)'!D4*'Assumptions (C&amp;C)'!G20</f>
        <v>485520.17237500002</v>
      </c>
      <c r="H4" s="51">
        <f>'Income Statement (C&amp;C)'!E4*'Assumptions (C&amp;C)'!H20</f>
        <v>631176.22408750001</v>
      </c>
      <c r="I4" s="51">
        <f>'Income Statement (C&amp;C)'!F4*'Assumptions (C&amp;C)'!I20</f>
        <v>820529.09131375002</v>
      </c>
      <c r="J4" s="51">
        <f>'Income Statement (C&amp;C)'!G4*'Assumptions (C&amp;C)'!J20</f>
        <v>1066687.818707875</v>
      </c>
      <c r="K4" s="51">
        <f>'Income Statement (C&amp;C)'!H4*'Assumptions (C&amp;C)'!K20</f>
        <v>1386694.1643202377</v>
      </c>
      <c r="L4" s="51">
        <f>'Income Statement (C&amp;C)'!I4*'Assumptions (C&amp;C)'!L20</f>
        <v>1664032.997184285</v>
      </c>
      <c r="M4" s="51">
        <f>'Income Statement (C&amp;C)'!J4*'Assumptions (C&amp;C)'!M20</f>
        <v>1872037.1218323205</v>
      </c>
      <c r="N4" s="51">
        <f>'Income Statement (C&amp;C)'!K4*'Assumptions (C&amp;C)'!N20</f>
        <v>2059240.8340155529</v>
      </c>
      <c r="O4" s="51">
        <f>'Income Statement (C&amp;C)'!L4*'Assumptions (C&amp;C)'!O20</f>
        <v>2265164.9174171085</v>
      </c>
      <c r="P4" s="51">
        <f>'Income Statement (C&amp;C)'!M4*'Assumptions (C&amp;C)'!P20</f>
        <v>2435052.2862233915</v>
      </c>
    </row>
    <row r="5" spans="3:32" x14ac:dyDescent="0.35">
      <c r="D5" s="47" t="s">
        <v>99</v>
      </c>
      <c r="E5" s="51">
        <f>'Balance (C&amp;C)'!C4</f>
        <v>1428310.17</v>
      </c>
      <c r="F5" s="51">
        <f>+F4+E5</f>
        <v>1705750.2685</v>
      </c>
      <c r="G5" s="51">
        <f t="shared" ref="G5:N5" si="0">+G4+F5</f>
        <v>2191270.4408749999</v>
      </c>
      <c r="H5" s="51">
        <f t="shared" si="0"/>
        <v>2822446.6649624999</v>
      </c>
      <c r="I5" s="51">
        <f t="shared" si="0"/>
        <v>3642975.7562762499</v>
      </c>
      <c r="J5" s="51">
        <f t="shared" si="0"/>
        <v>4709663.5749841249</v>
      </c>
      <c r="K5" s="51">
        <f t="shared" si="0"/>
        <v>6096357.7393043628</v>
      </c>
      <c r="L5" s="51">
        <f t="shared" si="0"/>
        <v>7760390.7364886478</v>
      </c>
      <c r="M5" s="51">
        <f t="shared" si="0"/>
        <v>9632427.8583209682</v>
      </c>
      <c r="N5" s="51">
        <f t="shared" si="0"/>
        <v>11691668.692336522</v>
      </c>
      <c r="O5" s="51">
        <f>+O4+N5</f>
        <v>13956833.609753631</v>
      </c>
      <c r="P5" s="51">
        <f>+P4+O5</f>
        <v>16391885.895977022</v>
      </c>
    </row>
    <row r="7" spans="3:32" x14ac:dyDescent="0.35">
      <c r="C7" s="47"/>
      <c r="D7" s="47" t="s">
        <v>100</v>
      </c>
      <c r="E7" s="47">
        <v>2023</v>
      </c>
      <c r="F7" s="47">
        <f>+E7+1</f>
        <v>2024</v>
      </c>
      <c r="G7" s="47">
        <f t="shared" ref="G7:N7" si="1">+F7+1</f>
        <v>2025</v>
      </c>
      <c r="H7" s="47">
        <f t="shared" si="1"/>
        <v>2026</v>
      </c>
      <c r="I7" s="47">
        <f t="shared" si="1"/>
        <v>2027</v>
      </c>
      <c r="J7" s="47">
        <f t="shared" si="1"/>
        <v>2028</v>
      </c>
      <c r="K7" s="47">
        <f t="shared" si="1"/>
        <v>2029</v>
      </c>
      <c r="L7" s="47">
        <f t="shared" si="1"/>
        <v>2030</v>
      </c>
      <c r="M7" s="47">
        <f t="shared" si="1"/>
        <v>2031</v>
      </c>
      <c r="N7" s="47">
        <f t="shared" si="1"/>
        <v>2032</v>
      </c>
      <c r="O7" s="47">
        <v>2033</v>
      </c>
      <c r="P7" s="47">
        <v>2034</v>
      </c>
      <c r="R7" s="52" t="s">
        <v>101</v>
      </c>
      <c r="S7" s="52"/>
    </row>
    <row r="8" spans="3:32" x14ac:dyDescent="0.35">
      <c r="C8" s="47">
        <v>2023</v>
      </c>
      <c r="D8" s="51">
        <f>E4</f>
        <v>1428310.17</v>
      </c>
      <c r="E8" s="53">
        <v>0</v>
      </c>
      <c r="F8" s="53">
        <f>-D8*'Assumptions (C&amp;C)'!F19</f>
        <v>-238527.79839000001</v>
      </c>
      <c r="G8" s="53">
        <f>+F8</f>
        <v>-238527.79839000001</v>
      </c>
      <c r="H8" s="53">
        <f t="shared" ref="H8:J8" si="2">+G8</f>
        <v>-238527.79839000001</v>
      </c>
      <c r="I8" s="53">
        <f t="shared" si="2"/>
        <v>-238527.79839000001</v>
      </c>
      <c r="J8" s="53">
        <f t="shared" si="2"/>
        <v>-238527.79839000001</v>
      </c>
      <c r="K8" s="53">
        <f>-D8-SUM(F8:J8)</f>
        <v>-235671.17804999975</v>
      </c>
      <c r="L8" s="53"/>
      <c r="M8" s="53"/>
      <c r="N8" s="53"/>
      <c r="O8" s="53"/>
      <c r="P8" s="53"/>
      <c r="R8" s="52" t="s">
        <v>102</v>
      </c>
      <c r="S8" s="52" t="s">
        <v>103</v>
      </c>
      <c r="T8" s="52" t="s">
        <v>104</v>
      </c>
      <c r="U8" s="52" t="s">
        <v>105</v>
      </c>
      <c r="V8" s="52" t="s">
        <v>106</v>
      </c>
      <c r="W8" s="54"/>
      <c r="X8" s="54"/>
      <c r="Y8" s="54"/>
    </row>
    <row r="9" spans="3:32" x14ac:dyDescent="0.35">
      <c r="C9" s="47">
        <f>C8+1</f>
        <v>2024</v>
      </c>
      <c r="D9" s="51">
        <f>+F4</f>
        <v>277440.09850000002</v>
      </c>
      <c r="E9" s="53"/>
      <c r="F9" s="53">
        <f>-D9*'Assumptions (C&amp;C)'!F19</f>
        <v>-46332.496449500009</v>
      </c>
      <c r="G9" s="53">
        <f>+F9</f>
        <v>-46332.496449500009</v>
      </c>
      <c r="H9" s="53">
        <f t="shared" ref="H9:K10" si="3">+G9</f>
        <v>-46332.496449500009</v>
      </c>
      <c r="I9" s="53">
        <f t="shared" si="3"/>
        <v>-46332.496449500009</v>
      </c>
      <c r="J9" s="53">
        <f t="shared" si="3"/>
        <v>-46332.496449500009</v>
      </c>
      <c r="K9" s="53">
        <f t="shared" si="3"/>
        <v>-46332.496449500009</v>
      </c>
      <c r="L9" s="53"/>
      <c r="M9" s="53"/>
      <c r="N9" s="53"/>
      <c r="O9" s="53"/>
      <c r="P9" s="53"/>
      <c r="R9" s="55">
        <v>0.66666666666666663</v>
      </c>
      <c r="S9" s="55">
        <v>0.75</v>
      </c>
      <c r="T9" s="55">
        <v>0.8</v>
      </c>
      <c r="U9" s="55">
        <v>0.83333333333333337</v>
      </c>
      <c r="V9" s="55">
        <v>0.8571428571428571</v>
      </c>
      <c r="W9" s="56"/>
      <c r="X9" s="56"/>
      <c r="Y9" s="56"/>
      <c r="Z9" s="57"/>
      <c r="AA9" s="57"/>
      <c r="AB9" s="57"/>
      <c r="AC9" s="57"/>
      <c r="AD9" s="57"/>
      <c r="AE9" s="57"/>
      <c r="AF9" s="57"/>
    </row>
    <row r="10" spans="3:32" x14ac:dyDescent="0.35">
      <c r="C10" s="47">
        <f t="shared" ref="C10:C17" si="4">C9+1</f>
        <v>2025</v>
      </c>
      <c r="D10" s="51">
        <f>+G4</f>
        <v>485520.17237500002</v>
      </c>
      <c r="E10" s="53"/>
      <c r="F10" s="53"/>
      <c r="G10" s="53">
        <f>-D10*'Assumptions (C&amp;C)'!G19</f>
        <v>-81081.868786625011</v>
      </c>
      <c r="H10" s="53">
        <f t="shared" si="3"/>
        <v>-81081.868786625011</v>
      </c>
      <c r="I10" s="53">
        <f t="shared" si="3"/>
        <v>-81081.868786625011</v>
      </c>
      <c r="J10" s="53">
        <f t="shared" si="3"/>
        <v>-81081.868786625011</v>
      </c>
      <c r="K10" s="53">
        <f t="shared" si="3"/>
        <v>-81081.868786625011</v>
      </c>
      <c r="L10" s="53">
        <f>-D10-SUM(G10:K10)</f>
        <v>-80110.828441874997</v>
      </c>
      <c r="M10" s="53"/>
      <c r="N10" s="53"/>
      <c r="O10" s="53"/>
      <c r="P10" s="53"/>
    </row>
    <row r="11" spans="3:32" x14ac:dyDescent="0.35">
      <c r="C11" s="47">
        <f t="shared" si="4"/>
        <v>2026</v>
      </c>
      <c r="D11" s="51">
        <f>+H4</f>
        <v>631176.22408750001</v>
      </c>
      <c r="E11" s="53"/>
      <c r="F11" s="53"/>
      <c r="G11" s="53"/>
      <c r="H11" s="53">
        <f>+-'Assumptions (C&amp;C)'!I19*'Intangibles and Deprec. (C&amp;C)'!H4</f>
        <v>-105406.42942261251</v>
      </c>
      <c r="I11" s="53">
        <f>H11</f>
        <v>-105406.42942261251</v>
      </c>
      <c r="J11" s="53">
        <f>I11</f>
        <v>-105406.42942261251</v>
      </c>
      <c r="K11" s="53">
        <f>J11</f>
        <v>-105406.42942261251</v>
      </c>
      <c r="L11" s="53">
        <f>K11</f>
        <v>-105406.42942261251</v>
      </c>
      <c r="M11" s="53">
        <f>-D11-SUM(H11:L11)</f>
        <v>-104144.07697443746</v>
      </c>
      <c r="N11" s="53"/>
      <c r="O11" s="53"/>
      <c r="P11" s="53"/>
    </row>
    <row r="12" spans="3:32" x14ac:dyDescent="0.35">
      <c r="C12" s="47">
        <f t="shared" si="4"/>
        <v>2027</v>
      </c>
      <c r="D12" s="51">
        <f>+I4</f>
        <v>820529.09131375002</v>
      </c>
      <c r="E12" s="53"/>
      <c r="F12" s="53"/>
      <c r="G12" s="53"/>
      <c r="H12" s="53"/>
      <c r="I12" s="53">
        <f>-$D12*'Assumptions (C&amp;C)'!J19</f>
        <v>-136782.19952200211</v>
      </c>
      <c r="J12" s="53">
        <f>I12</f>
        <v>-136782.19952200211</v>
      </c>
      <c r="K12" s="53">
        <f>J12</f>
        <v>-136782.19952200211</v>
      </c>
      <c r="L12" s="53">
        <f>K12</f>
        <v>-136782.19952200211</v>
      </c>
      <c r="M12" s="53">
        <f>L12</f>
        <v>-136782.19952200211</v>
      </c>
      <c r="N12" s="53">
        <f>-D12-SUM(I12:M12)</f>
        <v>-136618.09370373946</v>
      </c>
      <c r="O12" s="53"/>
      <c r="P12" s="53"/>
    </row>
    <row r="13" spans="3:32" x14ac:dyDescent="0.35">
      <c r="C13" s="47">
        <f t="shared" si="4"/>
        <v>2028</v>
      </c>
      <c r="D13" s="51">
        <f>+J4</f>
        <v>1066687.818707875</v>
      </c>
      <c r="E13" s="53"/>
      <c r="F13" s="53"/>
      <c r="G13" s="53"/>
      <c r="H13" s="53"/>
      <c r="I13" s="53"/>
      <c r="J13" s="53">
        <f>-$D13*'Assumptions (C&amp;C)'!K19</f>
        <v>-177816.85937860273</v>
      </c>
      <c r="K13" s="53">
        <f>J13</f>
        <v>-177816.85937860273</v>
      </c>
      <c r="L13" s="53">
        <f>K13</f>
        <v>-177816.85937860273</v>
      </c>
      <c r="M13" s="53">
        <f>L13</f>
        <v>-177816.85937860273</v>
      </c>
      <c r="N13" s="53">
        <f>M13</f>
        <v>-177816.85937860273</v>
      </c>
      <c r="O13" s="53">
        <f>-D13-SUM(J13:N13)</f>
        <v>-177603.52181486133</v>
      </c>
      <c r="P13" s="53"/>
    </row>
    <row r="14" spans="3:32" x14ac:dyDescent="0.35">
      <c r="C14" s="47">
        <f t="shared" si="4"/>
        <v>2029</v>
      </c>
      <c r="D14" s="51">
        <f>+K4</f>
        <v>1386694.1643202377</v>
      </c>
      <c r="E14" s="53"/>
      <c r="F14" s="53"/>
      <c r="G14" s="53"/>
      <c r="H14" s="53"/>
      <c r="I14" s="53"/>
      <c r="J14" s="53"/>
      <c r="K14" s="53">
        <f>-$D14*'Assumptions (C&amp;C)'!L19</f>
        <v>-231161.91719218361</v>
      </c>
      <c r="L14" s="53">
        <f>K14</f>
        <v>-231161.91719218361</v>
      </c>
      <c r="M14" s="53">
        <f>L14</f>
        <v>-231161.91719218361</v>
      </c>
      <c r="N14" s="53">
        <f>M14</f>
        <v>-231161.91719218361</v>
      </c>
      <c r="O14" s="53">
        <f>N14</f>
        <v>-231161.91719218361</v>
      </c>
      <c r="P14" s="53">
        <f>-D14-SUM(K14:O14)</f>
        <v>-230884.5783593196</v>
      </c>
      <c r="Q14" s="58"/>
      <c r="R14" s="58"/>
      <c r="S14" s="58"/>
      <c r="T14" s="58"/>
    </row>
    <row r="15" spans="3:32" x14ac:dyDescent="0.35">
      <c r="C15" s="47">
        <f t="shared" si="4"/>
        <v>2030</v>
      </c>
      <c r="D15" s="51">
        <f>+L4</f>
        <v>1664032.997184285</v>
      </c>
      <c r="E15" s="53"/>
      <c r="F15" s="53"/>
      <c r="G15" s="53"/>
      <c r="H15" s="53"/>
      <c r="I15" s="53"/>
      <c r="J15" s="53"/>
      <c r="K15" s="53"/>
      <c r="L15" s="53">
        <f>-$D15*'Assumptions (C&amp;C)'!M19</f>
        <v>-277394.30063062027</v>
      </c>
      <c r="M15" s="53">
        <f>L15</f>
        <v>-277394.30063062027</v>
      </c>
      <c r="N15" s="53">
        <f>M15</f>
        <v>-277394.30063062027</v>
      </c>
      <c r="O15" s="53">
        <f t="shared" ref="O15:P15" si="5">N15</f>
        <v>-277394.30063062027</v>
      </c>
      <c r="P15" s="53">
        <f t="shared" si="5"/>
        <v>-277394.30063062027</v>
      </c>
    </row>
    <row r="16" spans="3:32" x14ac:dyDescent="0.35">
      <c r="C16" s="47">
        <f t="shared" si="4"/>
        <v>2031</v>
      </c>
      <c r="D16" s="51">
        <f>+M4</f>
        <v>1872037.1218323205</v>
      </c>
      <c r="E16" s="53"/>
      <c r="F16" s="53"/>
      <c r="G16" s="53"/>
      <c r="H16" s="53"/>
      <c r="I16" s="53"/>
      <c r="J16" s="53"/>
      <c r="K16" s="53"/>
      <c r="L16" s="53"/>
      <c r="M16" s="53">
        <f>-$D16*'Assumptions (C&amp;C)'!N19</f>
        <v>-312068.5882094478</v>
      </c>
      <c r="N16" s="53">
        <f>M16</f>
        <v>-312068.5882094478</v>
      </c>
      <c r="O16" s="53">
        <f t="shared" ref="O16:P16" si="6">N16</f>
        <v>-312068.5882094478</v>
      </c>
      <c r="P16" s="53">
        <f t="shared" si="6"/>
        <v>-312068.5882094478</v>
      </c>
    </row>
    <row r="17" spans="3:17" x14ac:dyDescent="0.35">
      <c r="C17" s="47">
        <f t="shared" si="4"/>
        <v>2032</v>
      </c>
      <c r="D17" s="51">
        <f>+N4</f>
        <v>2059240.8340155529</v>
      </c>
      <c r="E17" s="53"/>
      <c r="F17" s="53"/>
      <c r="G17" s="53"/>
      <c r="H17" s="53"/>
      <c r="I17" s="53"/>
      <c r="J17" s="53"/>
      <c r="K17" s="53"/>
      <c r="L17" s="53"/>
      <c r="M17" s="53"/>
      <c r="N17" s="53">
        <f>-$D17*'Assumptions (C&amp;C)'!O19</f>
        <v>-343275.44703039265</v>
      </c>
      <c r="O17" s="53">
        <f>N17</f>
        <v>-343275.44703039265</v>
      </c>
      <c r="P17" s="53">
        <f>O17</f>
        <v>-343275.44703039265</v>
      </c>
    </row>
    <row r="18" spans="3:17" x14ac:dyDescent="0.35">
      <c r="C18" s="47"/>
      <c r="D18" s="47" t="s">
        <v>107</v>
      </c>
      <c r="E18" s="53">
        <f>SUM(E8:E17)</f>
        <v>0</v>
      </c>
      <c r="F18" s="53">
        <f t="shared" ref="F18:J18" si="7">SUM(F8:F17)</f>
        <v>-284860.29483950004</v>
      </c>
      <c r="G18" s="53">
        <f t="shared" si="7"/>
        <v>-365942.16362612508</v>
      </c>
      <c r="H18" s="53">
        <f>SUM(H8:H17)</f>
        <v>-471348.59304873762</v>
      </c>
      <c r="I18" s="53">
        <f t="shared" si="7"/>
        <v>-608130.79257073975</v>
      </c>
      <c r="J18" s="53">
        <f t="shared" si="7"/>
        <v>-785947.65194934246</v>
      </c>
      <c r="K18" s="53">
        <f t="shared" ref="K18:P18" si="8">SUM(K8:K17)</f>
        <v>-1014252.9488015259</v>
      </c>
      <c r="L18" s="53">
        <f t="shared" si="8"/>
        <v>-1008672.5345878962</v>
      </c>
      <c r="M18" s="53">
        <f t="shared" si="8"/>
        <v>-1239367.9419072941</v>
      </c>
      <c r="N18" s="53">
        <f t="shared" si="8"/>
        <v>-1478335.2061449864</v>
      </c>
      <c r="O18" s="53">
        <f t="shared" si="8"/>
        <v>-1341503.7748775056</v>
      </c>
      <c r="P18" s="53">
        <f t="shared" si="8"/>
        <v>-1163622.9142297804</v>
      </c>
      <c r="Q18" s="59"/>
    </row>
    <row r="19" spans="3:17" x14ac:dyDescent="0.35">
      <c r="C19" s="47"/>
      <c r="D19" s="47" t="s">
        <v>108</v>
      </c>
      <c r="E19" s="53">
        <f>+E18</f>
        <v>0</v>
      </c>
      <c r="F19" s="53">
        <f>+F18+E19</f>
        <v>-284860.29483950004</v>
      </c>
      <c r="G19" s="53">
        <f t="shared" ref="G19:N19" si="9">+G18+F19</f>
        <v>-650802.45846562507</v>
      </c>
      <c r="H19" s="53">
        <f t="shared" si="9"/>
        <v>-1122151.0515143627</v>
      </c>
      <c r="I19" s="53">
        <f t="shared" si="9"/>
        <v>-1730281.8440851024</v>
      </c>
      <c r="J19" s="53">
        <f t="shared" si="9"/>
        <v>-2516229.4960344448</v>
      </c>
      <c r="K19" s="53">
        <f t="shared" si="9"/>
        <v>-3530482.4448359706</v>
      </c>
      <c r="L19" s="53">
        <f t="shared" si="9"/>
        <v>-4539154.9794238666</v>
      </c>
      <c r="M19" s="53">
        <f t="shared" si="9"/>
        <v>-5778522.9213311607</v>
      </c>
      <c r="N19" s="53">
        <f t="shared" si="9"/>
        <v>-7256858.1274761474</v>
      </c>
      <c r="O19" s="53">
        <f t="shared" ref="O19" si="10">+O18+N19</f>
        <v>-8598361.9023536537</v>
      </c>
      <c r="P19" s="53">
        <f t="shared" ref="P19" si="11">+P18+O19</f>
        <v>-9761984.8165834341</v>
      </c>
    </row>
    <row r="20" spans="3:17" x14ac:dyDescent="0.35">
      <c r="C20" s="47"/>
      <c r="D20" s="47" t="s">
        <v>109</v>
      </c>
      <c r="E20" s="53">
        <f>+E5+E19</f>
        <v>1428310.17</v>
      </c>
      <c r="F20" s="53">
        <f t="shared" ref="F20:P20" si="12">+F5+F19</f>
        <v>1420889.9736605</v>
      </c>
      <c r="G20" s="53">
        <f t="shared" si="12"/>
        <v>1540467.9824093748</v>
      </c>
      <c r="H20" s="53">
        <f t="shared" si="12"/>
        <v>1700295.6134481372</v>
      </c>
      <c r="I20" s="53">
        <f t="shared" si="12"/>
        <v>1912693.9121911475</v>
      </c>
      <c r="J20" s="53">
        <f t="shared" si="12"/>
        <v>2193434.0789496801</v>
      </c>
      <c r="K20" s="53">
        <f t="shared" si="12"/>
        <v>2565875.2944683922</v>
      </c>
      <c r="L20" s="53">
        <f t="shared" si="12"/>
        <v>3221235.7570647812</v>
      </c>
      <c r="M20" s="53">
        <f t="shared" si="12"/>
        <v>3853904.9369898075</v>
      </c>
      <c r="N20" s="53">
        <f t="shared" si="12"/>
        <v>4434810.5648603747</v>
      </c>
      <c r="O20" s="53">
        <f>+O5+O19</f>
        <v>5358471.7073999774</v>
      </c>
      <c r="P20" s="53">
        <f t="shared" si="12"/>
        <v>6629901.079393588</v>
      </c>
    </row>
    <row r="21" spans="3:17" x14ac:dyDescent="0.35">
      <c r="F21" s="60"/>
      <c r="G21" s="60"/>
      <c r="H21" s="60"/>
      <c r="I21" s="60"/>
      <c r="J21" s="60"/>
      <c r="K21" s="60"/>
      <c r="L21" s="60"/>
      <c r="M21" s="60"/>
    </row>
    <row r="22" spans="3:17" x14ac:dyDescent="0.35">
      <c r="H22" s="60"/>
      <c r="K22" s="60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97E47-3595-43A9-AEDF-555B0348443E}">
  <sheetPr>
    <tabColor theme="8" tint="0.59999389629810485"/>
  </sheetPr>
  <dimension ref="A1:P31"/>
  <sheetViews>
    <sheetView showGridLines="0" workbookViewId="0">
      <selection activeCell="Q10" sqref="Q10"/>
    </sheetView>
  </sheetViews>
  <sheetFormatPr baseColWidth="10" defaultColWidth="8.58203125" defaultRowHeight="15.5" x14ac:dyDescent="0.35"/>
  <cols>
    <col min="6" max="6" width="11.08203125" bestFit="1" customWidth="1"/>
    <col min="7" max="9" width="8.58203125" bestFit="1" customWidth="1"/>
    <col min="10" max="10" width="9.08203125" bestFit="1" customWidth="1"/>
    <col min="11" max="15" width="8.58203125" bestFit="1" customWidth="1"/>
  </cols>
  <sheetData>
    <row r="1" spans="1:16" x14ac:dyDescent="0.35">
      <c r="A1" s="61" t="s">
        <v>110</v>
      </c>
      <c r="B1" s="61" t="s">
        <v>111</v>
      </c>
      <c r="E1">
        <v>2023</v>
      </c>
      <c r="F1">
        <f>E1+1</f>
        <v>2024</v>
      </c>
      <c r="G1">
        <f t="shared" ref="G1:O1" si="0">F1+1</f>
        <v>2025</v>
      </c>
      <c r="H1">
        <f t="shared" si="0"/>
        <v>2026</v>
      </c>
      <c r="I1">
        <f t="shared" si="0"/>
        <v>2027</v>
      </c>
      <c r="J1">
        <f t="shared" si="0"/>
        <v>2028</v>
      </c>
      <c r="K1">
        <f t="shared" si="0"/>
        <v>2029</v>
      </c>
      <c r="L1">
        <f t="shared" si="0"/>
        <v>2030</v>
      </c>
      <c r="M1">
        <f t="shared" si="0"/>
        <v>2031</v>
      </c>
      <c r="N1">
        <f t="shared" si="0"/>
        <v>2032</v>
      </c>
      <c r="O1">
        <f t="shared" si="0"/>
        <v>2033</v>
      </c>
    </row>
    <row r="3" spans="1:16" x14ac:dyDescent="0.35">
      <c r="A3" s="62" t="s">
        <v>112</v>
      </c>
      <c r="B3" s="63"/>
      <c r="C3" s="63"/>
      <c r="D3" s="63"/>
      <c r="E3" s="64">
        <v>2023</v>
      </c>
      <c r="F3" s="64">
        <f>E3+1</f>
        <v>2024</v>
      </c>
      <c r="G3" s="64">
        <f t="shared" ref="G3:P3" si="1">F3+1</f>
        <v>2025</v>
      </c>
      <c r="H3" s="64">
        <f t="shared" si="1"/>
        <v>2026</v>
      </c>
      <c r="I3" s="64">
        <f t="shared" si="1"/>
        <v>2027</v>
      </c>
      <c r="J3" s="64">
        <f t="shared" si="1"/>
        <v>2028</v>
      </c>
      <c r="K3" s="64">
        <f t="shared" si="1"/>
        <v>2029</v>
      </c>
      <c r="L3" s="64">
        <f t="shared" si="1"/>
        <v>2030</v>
      </c>
      <c r="M3" s="64">
        <f t="shared" si="1"/>
        <v>2031</v>
      </c>
      <c r="N3" s="64">
        <f t="shared" si="1"/>
        <v>2032</v>
      </c>
      <c r="O3" s="64">
        <f t="shared" si="1"/>
        <v>2033</v>
      </c>
      <c r="P3" s="64">
        <f t="shared" si="1"/>
        <v>2034</v>
      </c>
    </row>
    <row r="4" spans="1:16" x14ac:dyDescent="0.35">
      <c r="A4" s="63" t="s">
        <v>113</v>
      </c>
      <c r="B4" s="63"/>
      <c r="C4" s="63"/>
      <c r="D4" s="63"/>
      <c r="E4" s="65">
        <v>5.2999999999999999E-2</v>
      </c>
      <c r="F4" s="66">
        <v>2.4E-2</v>
      </c>
      <c r="G4" s="66">
        <v>0.02</v>
      </c>
      <c r="H4" s="66">
        <v>1.9E-2</v>
      </c>
      <c r="I4" s="66">
        <v>0.02</v>
      </c>
      <c r="J4" s="66">
        <v>0.02</v>
      </c>
      <c r="K4" s="66">
        <v>0.02</v>
      </c>
      <c r="L4" s="66">
        <v>0.02</v>
      </c>
      <c r="M4" s="66">
        <v>0.02</v>
      </c>
      <c r="N4" s="66">
        <v>0.02</v>
      </c>
      <c r="O4" s="66">
        <v>0.02</v>
      </c>
      <c r="P4" s="66">
        <v>0.02</v>
      </c>
    </row>
    <row r="5" spans="1:16" x14ac:dyDescent="0.35">
      <c r="A5" s="63" t="s">
        <v>114</v>
      </c>
      <c r="B5" s="63"/>
      <c r="C5" s="63"/>
      <c r="D5" s="63"/>
      <c r="E5" s="67">
        <v>0.21</v>
      </c>
      <c r="F5" s="66">
        <v>0.21</v>
      </c>
      <c r="G5" s="66">
        <v>0.21</v>
      </c>
      <c r="H5" s="66">
        <v>0.21</v>
      </c>
      <c r="I5" s="66">
        <v>0.21</v>
      </c>
      <c r="J5" s="66">
        <v>0.21</v>
      </c>
      <c r="K5" s="66">
        <v>0.21</v>
      </c>
      <c r="L5" s="66">
        <v>0.21</v>
      </c>
      <c r="M5" s="66">
        <v>0.21</v>
      </c>
      <c r="N5" s="66">
        <v>0.21</v>
      </c>
      <c r="O5" s="66">
        <v>0.21</v>
      </c>
      <c r="P5" s="66">
        <v>0.21</v>
      </c>
    </row>
    <row r="6" spans="1:16" x14ac:dyDescent="0.35">
      <c r="A6" s="63" t="s">
        <v>115</v>
      </c>
      <c r="B6" s="63"/>
      <c r="C6" s="63"/>
      <c r="D6" s="63"/>
      <c r="E6" s="68">
        <v>365</v>
      </c>
      <c r="F6" s="69">
        <v>365</v>
      </c>
      <c r="G6" s="69">
        <v>365</v>
      </c>
      <c r="H6" s="69">
        <v>365</v>
      </c>
      <c r="I6" s="69">
        <v>365</v>
      </c>
      <c r="J6" s="69">
        <v>365</v>
      </c>
      <c r="K6" s="69">
        <v>365</v>
      </c>
      <c r="L6" s="69">
        <v>365</v>
      </c>
      <c r="M6" s="69">
        <v>365</v>
      </c>
      <c r="N6" s="69">
        <v>365</v>
      </c>
      <c r="O6" s="69">
        <v>365</v>
      </c>
      <c r="P6" s="69">
        <v>365</v>
      </c>
    </row>
    <row r="7" spans="1:16" x14ac:dyDescent="0.35">
      <c r="A7" s="63"/>
      <c r="B7" s="63"/>
      <c r="C7" s="63"/>
      <c r="D7" s="63"/>
      <c r="E7" s="68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</row>
    <row r="8" spans="1:16" x14ac:dyDescent="0.35">
      <c r="A8" s="62" t="s">
        <v>116</v>
      </c>
      <c r="B8" s="63"/>
      <c r="C8" s="63"/>
      <c r="D8" s="63"/>
      <c r="E8" s="68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</row>
    <row r="9" spans="1:16" x14ac:dyDescent="0.35">
      <c r="A9" s="63" t="s">
        <v>117</v>
      </c>
      <c r="B9" s="63"/>
      <c r="C9" s="63"/>
      <c r="D9" s="63"/>
      <c r="E9" s="67">
        <v>0</v>
      </c>
      <c r="F9" s="70">
        <v>0.75</v>
      </c>
      <c r="G9" s="70">
        <v>0.3</v>
      </c>
      <c r="H9" s="70">
        <v>0.3</v>
      </c>
      <c r="I9" s="70">
        <v>0.3</v>
      </c>
      <c r="J9" s="70">
        <v>0.3</v>
      </c>
      <c r="K9" s="70">
        <v>0.2</v>
      </c>
      <c r="L9" s="70">
        <v>0.125</v>
      </c>
      <c r="M9" s="70">
        <v>0.1</v>
      </c>
      <c r="N9" s="70">
        <v>0.1</v>
      </c>
      <c r="O9" s="70">
        <v>7.4999999999999997E-2</v>
      </c>
      <c r="P9" s="70">
        <v>7.4999999999999997E-2</v>
      </c>
    </row>
    <row r="10" spans="1:16" x14ac:dyDescent="0.35">
      <c r="A10" s="63" t="s">
        <v>118</v>
      </c>
      <c r="B10" s="63"/>
      <c r="C10" s="63"/>
      <c r="D10" s="63"/>
      <c r="E10" s="68"/>
      <c r="F10" s="70">
        <v>0.11600000000000001</v>
      </c>
      <c r="G10" s="70">
        <v>0.11600000000000001</v>
      </c>
      <c r="H10" s="70">
        <v>0.11600000000000001</v>
      </c>
      <c r="I10" s="70">
        <v>0.11600000000000001</v>
      </c>
      <c r="J10" s="70">
        <v>0.11600000000000001</v>
      </c>
      <c r="K10" s="70">
        <v>0.11600000000000001</v>
      </c>
      <c r="L10" s="70">
        <v>0.11600000000000001</v>
      </c>
      <c r="M10" s="70">
        <v>0.11600000000000001</v>
      </c>
      <c r="N10" s="70">
        <v>0.11600000000000001</v>
      </c>
      <c r="O10" s="70">
        <v>0.11600000000000001</v>
      </c>
      <c r="P10" s="70">
        <v>0.11600000000000001</v>
      </c>
    </row>
    <row r="11" spans="1:16" x14ac:dyDescent="0.35">
      <c r="A11" s="63" t="s">
        <v>119</v>
      </c>
      <c r="B11" s="63"/>
      <c r="C11" s="63"/>
      <c r="D11" s="63"/>
      <c r="E11" s="65">
        <f>'Income Statement (C&amp;C)'!C5/'Income Statement (C&amp;C)'!C4</f>
        <v>0.72607840247000199</v>
      </c>
      <c r="F11" s="70">
        <v>0.77</v>
      </c>
      <c r="G11" s="70">
        <v>0.76</v>
      </c>
      <c r="H11" s="70">
        <v>0.75</v>
      </c>
      <c r="I11" s="70">
        <v>0.74</v>
      </c>
      <c r="J11" s="70">
        <v>0.73</v>
      </c>
      <c r="K11" s="70">
        <v>0.72</v>
      </c>
      <c r="L11" s="70">
        <v>0.71</v>
      </c>
      <c r="M11" s="70">
        <v>0.7</v>
      </c>
      <c r="N11" s="70">
        <v>0.7</v>
      </c>
      <c r="O11" s="70">
        <v>0.7</v>
      </c>
      <c r="P11" s="70">
        <v>0.7</v>
      </c>
    </row>
    <row r="12" spans="1:16" ht="0.75" customHeight="1" x14ac:dyDescent="0.35">
      <c r="A12" s="63" t="s">
        <v>120</v>
      </c>
      <c r="B12" s="63"/>
      <c r="C12" s="63"/>
      <c r="D12" s="63"/>
      <c r="E12" s="65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</row>
    <row r="13" spans="1:16" hidden="1" x14ac:dyDescent="0.35">
      <c r="A13" s="63" t="s">
        <v>121</v>
      </c>
      <c r="B13" s="63"/>
      <c r="C13" s="63"/>
      <c r="D13" s="63"/>
      <c r="E13" s="65">
        <v>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</row>
    <row r="14" spans="1:16" x14ac:dyDescent="0.35">
      <c r="A14" s="63" t="s">
        <v>23</v>
      </c>
      <c r="B14" s="63"/>
      <c r="C14" s="63"/>
      <c r="D14" s="63"/>
      <c r="E14" s="65"/>
      <c r="F14" s="70">
        <v>0.05</v>
      </c>
      <c r="G14" s="70">
        <v>0.05</v>
      </c>
      <c r="H14" s="70">
        <v>0.05</v>
      </c>
      <c r="I14" s="70">
        <v>0.05</v>
      </c>
      <c r="J14" s="70">
        <v>0.05</v>
      </c>
      <c r="K14" s="70">
        <v>0.05</v>
      </c>
      <c r="L14" s="70">
        <v>0.05</v>
      </c>
      <c r="M14" s="70">
        <v>0.05</v>
      </c>
      <c r="N14" s="70">
        <v>0.05</v>
      </c>
      <c r="O14" s="70">
        <v>0.05</v>
      </c>
      <c r="P14" s="70">
        <v>0.05</v>
      </c>
    </row>
    <row r="15" spans="1:16" x14ac:dyDescent="0.35">
      <c r="A15" s="63" t="s">
        <v>122</v>
      </c>
      <c r="B15" s="63"/>
      <c r="C15" s="63"/>
      <c r="D15" s="63"/>
      <c r="E15" s="77">
        <f>'Balance (C&amp;C)'!C8/'Income Statement (C&amp;C)'!C4*365</f>
        <v>84.740503291019422</v>
      </c>
      <c r="F15" s="73">
        <v>85</v>
      </c>
      <c r="G15" s="73">
        <v>80</v>
      </c>
      <c r="H15" s="73">
        <v>75</v>
      </c>
      <c r="I15" s="73">
        <v>70</v>
      </c>
      <c r="J15" s="73">
        <v>65</v>
      </c>
      <c r="K15" s="73">
        <v>60</v>
      </c>
      <c r="L15" s="73">
        <v>60</v>
      </c>
      <c r="M15" s="73">
        <v>60</v>
      </c>
      <c r="N15" s="73">
        <v>60</v>
      </c>
      <c r="O15" s="73">
        <v>60</v>
      </c>
      <c r="P15" s="73">
        <v>60</v>
      </c>
    </row>
    <row r="16" spans="1:16" x14ac:dyDescent="0.35">
      <c r="A16" s="63" t="s">
        <v>123</v>
      </c>
      <c r="B16" s="63"/>
      <c r="C16" s="63"/>
      <c r="D16" s="63"/>
      <c r="E16" s="77">
        <f>'Balance (C&amp;C)'!C29/'Income Statement (C&amp;C)'!C5*365</f>
        <v>53.751464627656809</v>
      </c>
      <c r="F16" s="73">
        <v>54</v>
      </c>
      <c r="G16" s="73">
        <v>54</v>
      </c>
      <c r="H16" s="73">
        <v>54</v>
      </c>
      <c r="I16" s="73">
        <v>54</v>
      </c>
      <c r="J16" s="73">
        <v>54</v>
      </c>
      <c r="K16" s="73">
        <v>54</v>
      </c>
      <c r="L16" s="73">
        <v>54</v>
      </c>
      <c r="M16" s="73">
        <v>54</v>
      </c>
      <c r="N16" s="73">
        <v>54</v>
      </c>
      <c r="O16" s="73">
        <v>54</v>
      </c>
      <c r="P16" s="73">
        <v>54</v>
      </c>
    </row>
    <row r="17" spans="1:16" x14ac:dyDescent="0.35">
      <c r="A17" s="63"/>
      <c r="B17" s="63"/>
      <c r="C17" s="63"/>
      <c r="D17" s="63"/>
      <c r="E17" s="63"/>
      <c r="F17" s="63"/>
      <c r="G17" s="63"/>
    </row>
    <row r="18" spans="1:16" x14ac:dyDescent="0.35">
      <c r="A18" s="62" t="s">
        <v>124</v>
      </c>
      <c r="B18" s="63"/>
      <c r="C18" s="63"/>
      <c r="D18" s="63"/>
      <c r="E18" s="63"/>
      <c r="F18" s="63"/>
      <c r="G18" s="63"/>
    </row>
    <row r="19" spans="1:16" x14ac:dyDescent="0.35">
      <c r="A19" s="63" t="s">
        <v>125</v>
      </c>
      <c r="B19" s="63"/>
      <c r="C19" s="63"/>
      <c r="D19" s="63"/>
      <c r="E19" s="65">
        <v>0</v>
      </c>
      <c r="F19" s="70">
        <v>0.16700000000000001</v>
      </c>
      <c r="G19" s="70">
        <v>0.16700000000000001</v>
      </c>
      <c r="H19" s="70">
        <v>0.16700000000000001</v>
      </c>
      <c r="I19" s="70">
        <v>0.16700000000000001</v>
      </c>
      <c r="J19" s="70">
        <v>0.16669999999999999</v>
      </c>
      <c r="K19" s="70">
        <v>0.16669999999999999</v>
      </c>
      <c r="L19" s="70">
        <v>0.16669999999999999</v>
      </c>
      <c r="M19" s="70">
        <v>0.16669999999999999</v>
      </c>
      <c r="N19" s="70">
        <v>0.16669999999999999</v>
      </c>
      <c r="O19" s="70">
        <v>0.16669999999999999</v>
      </c>
      <c r="P19" s="70">
        <v>0.16669999999999999</v>
      </c>
    </row>
    <row r="20" spans="1:16" x14ac:dyDescent="0.35">
      <c r="A20" s="63" t="s">
        <v>65</v>
      </c>
      <c r="B20" s="63"/>
      <c r="C20" s="63"/>
      <c r="D20" s="63"/>
      <c r="E20" s="65"/>
      <c r="F20" s="70">
        <v>0.05</v>
      </c>
      <c r="G20" s="70">
        <v>0.05</v>
      </c>
      <c r="H20" s="70">
        <v>0.05</v>
      </c>
      <c r="I20" s="70">
        <v>0.05</v>
      </c>
      <c r="J20" s="70">
        <v>0.05</v>
      </c>
      <c r="K20" s="70">
        <v>0.05</v>
      </c>
      <c r="L20" s="70">
        <v>0.05</v>
      </c>
      <c r="M20" s="70">
        <v>0.05</v>
      </c>
      <c r="N20" s="70">
        <v>0.05</v>
      </c>
      <c r="O20" s="70">
        <v>0.05</v>
      </c>
      <c r="P20" s="70">
        <v>0.05</v>
      </c>
    </row>
    <row r="21" spans="1:16" x14ac:dyDescent="0.35">
      <c r="A21" s="63"/>
      <c r="B21" s="63"/>
      <c r="C21" s="63"/>
      <c r="D21" s="63"/>
      <c r="E21" s="63"/>
      <c r="F21" s="63"/>
      <c r="G21" s="63"/>
    </row>
    <row r="22" spans="1:16" x14ac:dyDescent="0.35">
      <c r="A22" s="62" t="s">
        <v>126</v>
      </c>
      <c r="B22" s="63"/>
      <c r="C22" s="63"/>
      <c r="D22" s="63"/>
      <c r="E22" s="63"/>
      <c r="F22" s="63"/>
      <c r="G22" s="63"/>
    </row>
    <row r="23" spans="1:16" x14ac:dyDescent="0.35">
      <c r="A23" s="63" t="s">
        <v>127</v>
      </c>
      <c r="B23" s="63"/>
      <c r="C23" s="63"/>
      <c r="D23" s="63"/>
      <c r="E23" s="65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70">
        <v>0</v>
      </c>
      <c r="P23" s="70">
        <v>0</v>
      </c>
    </row>
    <row r="24" spans="1:16" x14ac:dyDescent="0.35">
      <c r="A24" s="63" t="s">
        <v>128</v>
      </c>
      <c r="B24" s="63"/>
      <c r="C24" s="63"/>
      <c r="D24" s="63"/>
      <c r="E24" s="65">
        <v>0</v>
      </c>
      <c r="F24" s="70">
        <v>0</v>
      </c>
      <c r="G24" s="70">
        <v>0</v>
      </c>
      <c r="H24" s="70">
        <v>0</v>
      </c>
      <c r="I24" s="70">
        <v>0</v>
      </c>
      <c r="J24" s="70">
        <v>0</v>
      </c>
      <c r="K24" s="70">
        <v>0</v>
      </c>
      <c r="L24" s="70">
        <v>0</v>
      </c>
      <c r="M24" s="70">
        <v>0</v>
      </c>
      <c r="N24" s="70">
        <v>0</v>
      </c>
      <c r="O24" s="70">
        <v>0</v>
      </c>
      <c r="P24" s="70">
        <v>0</v>
      </c>
    </row>
    <row r="25" spans="1:16" x14ac:dyDescent="0.35">
      <c r="A25" s="63" t="s">
        <v>129</v>
      </c>
      <c r="B25" s="63"/>
      <c r="C25" s="63"/>
      <c r="D25" s="63"/>
      <c r="E25" s="65">
        <v>0</v>
      </c>
      <c r="F25" s="70">
        <v>0</v>
      </c>
      <c r="G25" s="70">
        <v>0</v>
      </c>
      <c r="H25" s="70">
        <v>0</v>
      </c>
      <c r="I25" s="70">
        <v>0</v>
      </c>
      <c r="J25" s="70">
        <v>0</v>
      </c>
      <c r="K25" s="70">
        <v>0</v>
      </c>
      <c r="L25" s="70">
        <v>0</v>
      </c>
      <c r="M25" s="70">
        <v>0</v>
      </c>
      <c r="N25" s="70">
        <v>0</v>
      </c>
      <c r="O25" s="70">
        <v>0</v>
      </c>
      <c r="P25" s="70">
        <v>0</v>
      </c>
    </row>
    <row r="26" spans="1:16" x14ac:dyDescent="0.35">
      <c r="A26" s="63" t="s">
        <v>130</v>
      </c>
      <c r="B26" s="63"/>
      <c r="C26" s="63"/>
      <c r="D26" s="63"/>
      <c r="E26" s="65">
        <v>0</v>
      </c>
      <c r="F26" s="70">
        <f>E26</f>
        <v>0</v>
      </c>
      <c r="G26" s="70">
        <f>F26</f>
        <v>0</v>
      </c>
      <c r="H26" s="70">
        <v>0</v>
      </c>
      <c r="I26" s="70">
        <v>0</v>
      </c>
      <c r="J26" s="70">
        <f t="shared" ref="J26:P26" si="2">I26</f>
        <v>0</v>
      </c>
      <c r="K26" s="70">
        <f t="shared" si="2"/>
        <v>0</v>
      </c>
      <c r="L26" s="70">
        <f t="shared" si="2"/>
        <v>0</v>
      </c>
      <c r="M26" s="70">
        <f t="shared" si="2"/>
        <v>0</v>
      </c>
      <c r="N26" s="70">
        <f t="shared" si="2"/>
        <v>0</v>
      </c>
      <c r="O26" s="70">
        <f t="shared" si="2"/>
        <v>0</v>
      </c>
      <c r="P26" s="70">
        <f t="shared" si="2"/>
        <v>0</v>
      </c>
    </row>
    <row r="27" spans="1:16" x14ac:dyDescent="0.35">
      <c r="A27" s="63"/>
      <c r="B27" s="63"/>
      <c r="C27" s="63"/>
      <c r="D27" s="63"/>
      <c r="E27" s="63"/>
      <c r="F27" s="63"/>
      <c r="G27" s="63"/>
    </row>
    <row r="28" spans="1:16" x14ac:dyDescent="0.35">
      <c r="A28" s="62" t="s">
        <v>131</v>
      </c>
      <c r="B28" s="63"/>
      <c r="C28" s="63"/>
      <c r="D28" s="63"/>
      <c r="E28" s="63"/>
      <c r="F28" s="63"/>
      <c r="G28" s="63"/>
    </row>
    <row r="29" spans="1:16" x14ac:dyDescent="0.35">
      <c r="A29" s="63" t="s">
        <v>132</v>
      </c>
      <c r="B29" s="63"/>
      <c r="C29" s="63"/>
      <c r="D29" s="63"/>
      <c r="E29" s="65">
        <v>0</v>
      </c>
      <c r="F29" s="70">
        <v>0</v>
      </c>
      <c r="G29" s="70">
        <v>0</v>
      </c>
      <c r="H29" s="70">
        <v>0</v>
      </c>
      <c r="I29" s="70">
        <v>0</v>
      </c>
      <c r="J29" s="70">
        <v>0</v>
      </c>
      <c r="K29" s="70">
        <v>0</v>
      </c>
      <c r="L29" s="70">
        <v>0</v>
      </c>
      <c r="M29" s="70">
        <v>0</v>
      </c>
      <c r="N29" s="70">
        <v>0</v>
      </c>
      <c r="O29" s="70">
        <v>0</v>
      </c>
      <c r="P29" s="70">
        <v>0</v>
      </c>
    </row>
    <row r="30" spans="1:16" x14ac:dyDescent="0.35">
      <c r="A30" s="63" t="s">
        <v>71</v>
      </c>
      <c r="B30" s="63"/>
      <c r="C30" s="63"/>
      <c r="D30" s="63"/>
      <c r="E30" s="65">
        <f>+'Cash-Flow (C&amp;C)'!D65</f>
        <v>0.11088000000000001</v>
      </c>
      <c r="F30" s="70">
        <f t="shared" ref="F30" si="3">E30</f>
        <v>0.11088000000000001</v>
      </c>
      <c r="G30" s="70">
        <f t="shared" ref="G30" si="4">F30</f>
        <v>0.11088000000000001</v>
      </c>
      <c r="H30" s="70">
        <f t="shared" ref="H30" si="5">G30</f>
        <v>0.11088000000000001</v>
      </c>
      <c r="I30" s="70">
        <f t="shared" ref="I30" si="6">H30</f>
        <v>0.11088000000000001</v>
      </c>
      <c r="J30" s="70">
        <f t="shared" ref="J30" si="7">I30</f>
        <v>0.11088000000000001</v>
      </c>
      <c r="K30" s="70">
        <f t="shared" ref="K30" si="8">J30</f>
        <v>0.11088000000000001</v>
      </c>
      <c r="L30" s="70">
        <f t="shared" ref="L30" si="9">K30</f>
        <v>0.11088000000000001</v>
      </c>
      <c r="M30" s="70">
        <f t="shared" ref="M30:P30" si="10">L30</f>
        <v>0.11088000000000001</v>
      </c>
      <c r="N30" s="70">
        <f t="shared" si="10"/>
        <v>0.11088000000000001</v>
      </c>
      <c r="O30" s="70">
        <f t="shared" si="10"/>
        <v>0.11088000000000001</v>
      </c>
      <c r="P30" s="70">
        <f t="shared" si="10"/>
        <v>0.11088000000000001</v>
      </c>
    </row>
    <row r="31" spans="1:16" x14ac:dyDescent="0.35">
      <c r="A31" s="63" t="s">
        <v>133</v>
      </c>
      <c r="E31" s="74">
        <v>0.93030000000000002</v>
      </c>
      <c r="F31" s="75">
        <f>+E31</f>
        <v>0.93030000000000002</v>
      </c>
      <c r="G31" s="75">
        <f t="shared" ref="G31:P31" si="11">+F31</f>
        <v>0.93030000000000002</v>
      </c>
      <c r="H31" s="75">
        <f t="shared" si="11"/>
        <v>0.93030000000000002</v>
      </c>
      <c r="I31" s="75">
        <f t="shared" si="11"/>
        <v>0.93030000000000002</v>
      </c>
      <c r="J31" s="75">
        <f t="shared" si="11"/>
        <v>0.93030000000000002</v>
      </c>
      <c r="K31" s="75">
        <f t="shared" si="11"/>
        <v>0.93030000000000002</v>
      </c>
      <c r="L31" s="75">
        <f t="shared" si="11"/>
        <v>0.93030000000000002</v>
      </c>
      <c r="M31" s="75">
        <f t="shared" si="11"/>
        <v>0.93030000000000002</v>
      </c>
      <c r="N31" s="75">
        <f t="shared" si="11"/>
        <v>0.93030000000000002</v>
      </c>
      <c r="O31" s="75">
        <f t="shared" si="11"/>
        <v>0.93030000000000002</v>
      </c>
      <c r="P31" s="75">
        <f t="shared" si="11"/>
        <v>0.93030000000000002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968EA-53A4-4C9F-887F-9C65F8083FFA}">
  <dimension ref="B1:V46"/>
  <sheetViews>
    <sheetView showGridLines="0" zoomScale="80" zoomScaleNormal="80" workbookViewId="0">
      <selection activeCell="N48" sqref="N48"/>
    </sheetView>
  </sheetViews>
  <sheetFormatPr baseColWidth="10" defaultColWidth="10.58203125" defaultRowHeight="13" x14ac:dyDescent="0.3"/>
  <cols>
    <col min="1" max="1" width="1" style="1" customWidth="1"/>
    <col min="2" max="2" width="26.5" style="1" bestFit="1" customWidth="1"/>
    <col min="3" max="3" width="10.08203125" style="7" bestFit="1" customWidth="1"/>
    <col min="4" max="4" width="9.58203125" style="7" bestFit="1" customWidth="1"/>
    <col min="5" max="5" width="10" style="7" bestFit="1" customWidth="1"/>
    <col min="6" max="8" width="9.58203125" style="7" bestFit="1" customWidth="1"/>
    <col min="9" max="9" width="10.08203125" style="7" bestFit="1" customWidth="1"/>
    <col min="10" max="12" width="10.58203125" style="7" bestFit="1" customWidth="1"/>
    <col min="13" max="13" width="11" style="7" bestFit="1" customWidth="1"/>
    <col min="14" max="14" width="11.08203125" style="7" bestFit="1" customWidth="1"/>
    <col min="15" max="15" width="10.58203125" style="7" bestFit="1" customWidth="1"/>
    <col min="16" max="17" width="10.08203125" style="7" bestFit="1" customWidth="1"/>
    <col min="18" max="19" width="10.58203125" style="7" bestFit="1" customWidth="1"/>
    <col min="20" max="22" width="10.5" style="7" bestFit="1" customWidth="1"/>
    <col min="23" max="16384" width="10.58203125" style="1"/>
  </cols>
  <sheetData>
    <row r="1" spans="2:22" x14ac:dyDescent="0.3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2:22" x14ac:dyDescent="0.3">
      <c r="B2" s="2" t="s">
        <v>0</v>
      </c>
      <c r="C2" s="2">
        <v>2019</v>
      </c>
      <c r="D2" s="2">
        <v>2020</v>
      </c>
      <c r="E2" s="2">
        <v>2021</v>
      </c>
      <c r="F2" s="2">
        <v>2022</v>
      </c>
      <c r="G2" s="2">
        <v>2023</v>
      </c>
      <c r="H2" s="2">
        <v>2024</v>
      </c>
      <c r="I2" s="2">
        <v>2025</v>
      </c>
      <c r="J2" s="2">
        <v>2026</v>
      </c>
      <c r="K2" s="2">
        <v>2027</v>
      </c>
      <c r="L2" s="2">
        <v>2028</v>
      </c>
      <c r="M2" s="2">
        <v>2029</v>
      </c>
      <c r="N2" s="2">
        <v>2030</v>
      </c>
      <c r="O2" s="2">
        <v>2031</v>
      </c>
      <c r="P2" s="2">
        <v>2032</v>
      </c>
      <c r="Q2" s="2">
        <v>2033</v>
      </c>
      <c r="R2" s="2">
        <v>2034</v>
      </c>
      <c r="S2" s="2">
        <v>2035</v>
      </c>
      <c r="T2" s="2">
        <v>2036</v>
      </c>
      <c r="U2" s="2">
        <v>2037</v>
      </c>
      <c r="V2" s="2">
        <v>2038</v>
      </c>
    </row>
    <row r="3" spans="2:22" x14ac:dyDescent="0.3"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2:22" x14ac:dyDescent="0.3">
      <c r="B4" s="4" t="s">
        <v>2</v>
      </c>
      <c r="C4" s="5">
        <v>221559</v>
      </c>
      <c r="D4" s="5">
        <v>168273</v>
      </c>
      <c r="E4" s="5">
        <f>'Intangibles and Deprec. (Samba)'!E5</f>
        <v>159678</v>
      </c>
      <c r="F4" s="5">
        <f>'Intangibles and Deprec. (Samba)'!F5</f>
        <v>419678</v>
      </c>
      <c r="G4" s="5">
        <f>'Intangibles and Deprec. (Samba)'!G5</f>
        <v>679678</v>
      </c>
      <c r="H4" s="5">
        <f>'Intangibles and Deprec. (Samba)'!H5</f>
        <v>1139578</v>
      </c>
      <c r="I4" s="5">
        <f>'Intangibles and Deprec. (Samba)'!I5</f>
        <v>1783438</v>
      </c>
      <c r="J4" s="5">
        <f>'Intangibles and Deprec. (Samba)'!J5</f>
        <v>2652649</v>
      </c>
      <c r="K4" s="5">
        <f>'Intangibles and Deprec. (Samba)'!K5</f>
        <v>3782623.3</v>
      </c>
      <c r="L4" s="5">
        <f>'Intangibles and Deprec. (Samba)'!L5</f>
        <v>5195091.1749999998</v>
      </c>
      <c r="M4" s="5">
        <f>'Intangibles and Deprec. (Samba)'!M5</f>
        <v>6890052.625</v>
      </c>
      <c r="N4" s="5">
        <f>'Intangibles and Deprec. (Samba)'!N5</f>
        <v>8839258.2925000004</v>
      </c>
      <c r="O4" s="5"/>
      <c r="P4" s="5"/>
      <c r="Q4" s="5"/>
      <c r="R4" s="5"/>
      <c r="S4" s="5"/>
      <c r="T4" s="5"/>
      <c r="U4" s="5"/>
      <c r="V4" s="5"/>
    </row>
    <row r="5" spans="2:22" x14ac:dyDescent="0.3">
      <c r="B5" s="4" t="s">
        <v>3</v>
      </c>
      <c r="C5" s="5">
        <v>0</v>
      </c>
      <c r="D5" s="5">
        <v>0</v>
      </c>
      <c r="E5" s="5">
        <v>0</v>
      </c>
      <c r="F5" s="5">
        <f>-'Intangibles and Deprec. (Samba)'!F19</f>
        <v>42000</v>
      </c>
      <c r="G5" s="5">
        <f>-'Intangibles and Deprec. (Samba)'!G19</f>
        <v>129000</v>
      </c>
      <c r="H5" s="5">
        <f>-'Intangibles and Deprec. (Samba)'!H19</f>
        <v>292803.3</v>
      </c>
      <c r="I5" s="5">
        <f>-'Intangibles and Deprec. (Samba)'!I19</f>
        <v>564131.22</v>
      </c>
      <c r="J5" s="5">
        <f>-'Intangibles and Deprec. (Samba)'!J19</f>
        <v>980617.37699999998</v>
      </c>
      <c r="K5" s="5">
        <f>-'Intangibles and Deprec. (Samba)'!K19</f>
        <v>1585809.2420999999</v>
      </c>
      <c r="L5" s="5">
        <f>-'Intangibles and Deprec. (Samba)'!L19</f>
        <v>2382459.5019624997</v>
      </c>
      <c r="M5" s="5">
        <f>-'Intangibles and Deprec. (Samba)'!M19</f>
        <v>3417740.0355399996</v>
      </c>
      <c r="N5" s="5">
        <f>-'Intangibles and Deprec. (Samba)'!N19</f>
        <v>4700781.9338897495</v>
      </c>
      <c r="O5" s="5"/>
      <c r="P5" s="5"/>
      <c r="Q5" s="5"/>
      <c r="R5" s="5"/>
      <c r="S5" s="5"/>
      <c r="T5" s="5"/>
      <c r="U5" s="5"/>
      <c r="V5" s="5"/>
    </row>
    <row r="6" spans="2:22" x14ac:dyDescent="0.3">
      <c r="B6" s="6" t="s">
        <v>4</v>
      </c>
      <c r="C6" s="5">
        <f>+C4-C5</f>
        <v>221559</v>
      </c>
      <c r="D6" s="5">
        <f t="shared" ref="D6:N6" si="0">+D4-D5</f>
        <v>168273</v>
      </c>
      <c r="E6" s="5">
        <f t="shared" si="0"/>
        <v>159678</v>
      </c>
      <c r="F6" s="5">
        <f>+F4-F5</f>
        <v>377678</v>
      </c>
      <c r="G6" s="5">
        <f t="shared" si="0"/>
        <v>550678</v>
      </c>
      <c r="H6" s="5">
        <f t="shared" si="0"/>
        <v>846774.7</v>
      </c>
      <c r="I6" s="5">
        <f t="shared" si="0"/>
        <v>1219306.78</v>
      </c>
      <c r="J6" s="5">
        <f t="shared" si="0"/>
        <v>1672031.6230000001</v>
      </c>
      <c r="K6" s="5">
        <f t="shared" si="0"/>
        <v>2196814.0578999999</v>
      </c>
      <c r="L6" s="5">
        <f t="shared" si="0"/>
        <v>2812631.6730375001</v>
      </c>
      <c r="M6" s="5">
        <f t="shared" si="0"/>
        <v>3472312.5894600004</v>
      </c>
      <c r="N6" s="5">
        <f t="shared" si="0"/>
        <v>4138476.358610251</v>
      </c>
      <c r="O6" s="5"/>
      <c r="P6" s="5"/>
      <c r="Q6" s="5"/>
      <c r="R6" s="5"/>
      <c r="S6" s="5"/>
      <c r="T6" s="5"/>
      <c r="U6" s="5"/>
      <c r="V6" s="5"/>
    </row>
    <row r="7" spans="2:22" x14ac:dyDescent="0.3">
      <c r="B7" s="6" t="s">
        <v>5</v>
      </c>
      <c r="C7" s="5">
        <v>90442</v>
      </c>
      <c r="D7" s="5">
        <v>24227</v>
      </c>
      <c r="E7" s="5">
        <v>25619</v>
      </c>
      <c r="F7" s="5">
        <f>'Assumptions (Samba)'!G15/365*'Income Statement (Samba)'!F4</f>
        <v>172602.73972602739</v>
      </c>
      <c r="G7" s="5">
        <f>'Assumptions (Samba)'!H15/365*'Income Statement (Samba)'!G4</f>
        <v>258904.10958904109</v>
      </c>
      <c r="H7" s="5">
        <f>'Assumptions (Samba)'!I15/365*'Income Statement (Samba)'!H4</f>
        <v>378000</v>
      </c>
      <c r="I7" s="5">
        <f>'Assumptions (Samba)'!J15/365*'Income Statement (Samba)'!I4</f>
        <v>529200</v>
      </c>
      <c r="J7" s="5">
        <f>'Assumptions (Samba)'!K15/365*'Income Statement (Samba)'!J4</f>
        <v>714420</v>
      </c>
      <c r="K7" s="5">
        <f>'Assumptions (Samba)'!L15/365*'Income Statement (Samba)'!K4</f>
        <v>928746</v>
      </c>
      <c r="L7" s="5">
        <f>'Assumptions (Samba)'!M15/365*'Income Statement (Samba)'!L4</f>
        <v>1160932.5</v>
      </c>
      <c r="M7" s="5">
        <f>'Assumptions (Samba)'!N15/365*'Income Statement (Samba)'!M4</f>
        <v>1393119</v>
      </c>
      <c r="N7" s="5">
        <f>'Assumptions (Samba)'!O15/365*'Income Statement (Samba)'!N4</f>
        <v>1602086.8499999996</v>
      </c>
      <c r="O7" s="5"/>
      <c r="P7" s="5"/>
      <c r="Q7" s="5"/>
      <c r="R7" s="5"/>
      <c r="S7" s="5"/>
      <c r="T7" s="5"/>
      <c r="U7" s="5"/>
      <c r="V7" s="5"/>
    </row>
    <row r="8" spans="2:22" x14ac:dyDescent="0.3">
      <c r="B8" s="6" t="s">
        <v>6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/>
      <c r="P8" s="5"/>
      <c r="Q8" s="5"/>
      <c r="R8" s="5"/>
      <c r="S8" s="5"/>
      <c r="T8" s="5"/>
      <c r="U8" s="5"/>
      <c r="V8" s="5"/>
    </row>
    <row r="9" spans="2:22" x14ac:dyDescent="0.3">
      <c r="B9" s="6" t="s">
        <v>7</v>
      </c>
      <c r="C9" s="5">
        <v>0</v>
      </c>
      <c r="D9" s="5">
        <v>46500</v>
      </c>
      <c r="E9" s="5">
        <v>0</v>
      </c>
      <c r="F9" s="5">
        <f t="shared" ref="F9:N9" si="1">AVERAGE(D9:E9)</f>
        <v>23250</v>
      </c>
      <c r="G9" s="5">
        <f t="shared" si="1"/>
        <v>11625</v>
      </c>
      <c r="H9" s="5">
        <f t="shared" si="1"/>
        <v>17437.5</v>
      </c>
      <c r="I9" s="5">
        <f t="shared" si="1"/>
        <v>14531.25</v>
      </c>
      <c r="J9" s="5">
        <f t="shared" si="1"/>
        <v>15984.375</v>
      </c>
      <c r="K9" s="5">
        <f t="shared" si="1"/>
        <v>15257.8125</v>
      </c>
      <c r="L9" s="5">
        <f t="shared" si="1"/>
        <v>15621.09375</v>
      </c>
      <c r="M9" s="5">
        <f t="shared" si="1"/>
        <v>15439.453125</v>
      </c>
      <c r="N9" s="5">
        <f t="shared" si="1"/>
        <v>15530.2734375</v>
      </c>
      <c r="O9" s="5"/>
      <c r="P9" s="5"/>
      <c r="Q9" s="5"/>
      <c r="R9" s="5"/>
      <c r="S9" s="5"/>
      <c r="T9" s="5"/>
      <c r="U9" s="5"/>
      <c r="V9" s="5"/>
    </row>
    <row r="10" spans="2:22" x14ac:dyDescent="0.3">
      <c r="B10" s="6" t="s">
        <v>8</v>
      </c>
      <c r="C10" s="5">
        <f>3409+2000</f>
        <v>5409</v>
      </c>
      <c r="D10" s="5">
        <f>298+2000</f>
        <v>2298</v>
      </c>
      <c r="E10" s="5">
        <v>19866</v>
      </c>
      <c r="F10" s="5">
        <f t="shared" ref="F10:N10" si="2">AVERAGE(E10,D10)</f>
        <v>11082</v>
      </c>
      <c r="G10" s="5">
        <f t="shared" si="2"/>
        <v>15474</v>
      </c>
      <c r="H10" s="5">
        <f t="shared" si="2"/>
        <v>13278</v>
      </c>
      <c r="I10" s="5">
        <f t="shared" si="2"/>
        <v>14376</v>
      </c>
      <c r="J10" s="5">
        <f t="shared" si="2"/>
        <v>13827</v>
      </c>
      <c r="K10" s="5">
        <f t="shared" si="2"/>
        <v>14101.5</v>
      </c>
      <c r="L10" s="5">
        <f t="shared" si="2"/>
        <v>13964.25</v>
      </c>
      <c r="M10" s="5">
        <f t="shared" si="2"/>
        <v>14032.875</v>
      </c>
      <c r="N10" s="5">
        <f t="shared" si="2"/>
        <v>13998.5625</v>
      </c>
      <c r="O10" s="5"/>
      <c r="P10" s="5"/>
      <c r="Q10" s="5"/>
      <c r="R10" s="5"/>
      <c r="S10" s="5"/>
      <c r="T10" s="5"/>
      <c r="U10" s="5"/>
      <c r="V10" s="5"/>
    </row>
    <row r="11" spans="2:22" x14ac:dyDescent="0.3">
      <c r="B11" s="6" t="s">
        <v>9</v>
      </c>
      <c r="C11" s="5">
        <f>+'Cash-Flow (Samba)'!D25</f>
        <v>188483</v>
      </c>
      <c r="D11" s="5">
        <f>+C11+'Cash-Flow (Samba)'!E25</f>
        <v>506080</v>
      </c>
      <c r="E11" s="5">
        <f>+D11+'Cash-Flow (Samba)'!F25-109340</f>
        <v>819022</v>
      </c>
      <c r="F11" s="5">
        <f>+E11+'Cash-Flow (Samba)'!G25</f>
        <v>1511689.3150684931</v>
      </c>
      <c r="G11" s="5">
        <f>+F11+'Cash-Flow (Samba)'!H25</f>
        <v>2774450.3424657532</v>
      </c>
      <c r="H11" s="5">
        <f>+G11+'Cash-Flow (Samba)'!I25</f>
        <v>4588965.5</v>
      </c>
      <c r="I11" s="5">
        <f>+H11+'Cash-Flow (Samba)'!J25</f>
        <v>7306027.2429999998</v>
      </c>
      <c r="J11" s="5">
        <f>+I11+'Cash-Flow (Samba)'!K25</f>
        <v>11050424.041199999</v>
      </c>
      <c r="K11" s="5">
        <f>+J11+'Cash-Flow (Samba)'!L25</f>
        <v>15843873.004669998</v>
      </c>
      <c r="L11" s="5">
        <f>+K11+'Cash-Flow (Samba)'!M25</f>
        <v>21744000.839190997</v>
      </c>
      <c r="M11" s="5">
        <f>+L11+'Cash-Flow (Samba)'!N25</f>
        <v>28696089.344137121</v>
      </c>
      <c r="N11" s="5">
        <f>+M11+'Cash-Flow (Samba)'!O25</f>
        <v>36537713.193125896</v>
      </c>
      <c r="O11" s="5"/>
      <c r="P11" s="5"/>
      <c r="Q11" s="5"/>
      <c r="R11" s="5"/>
      <c r="S11" s="5"/>
      <c r="T11" s="5"/>
      <c r="U11" s="5"/>
      <c r="V11" s="5"/>
    </row>
    <row r="12" spans="2:22" ht="4.4000000000000004" customHeight="1" x14ac:dyDescent="0.3"/>
    <row r="13" spans="2:22" ht="13.5" thickBot="1" x14ac:dyDescent="0.35">
      <c r="B13" s="8" t="s">
        <v>10</v>
      </c>
      <c r="C13" s="9">
        <f t="shared" ref="C13:N13" si="3">SUM(C6:C11)</f>
        <v>505893</v>
      </c>
      <c r="D13" s="9">
        <f t="shared" si="3"/>
        <v>747378</v>
      </c>
      <c r="E13" s="9">
        <f t="shared" si="3"/>
        <v>1024185</v>
      </c>
      <c r="F13" s="9">
        <f>SUM(F6:F11)</f>
        <v>2096302.0547945206</v>
      </c>
      <c r="G13" s="9">
        <f t="shared" si="3"/>
        <v>3611131.4520547944</v>
      </c>
      <c r="H13" s="9">
        <f t="shared" si="3"/>
        <v>5844455.7000000002</v>
      </c>
      <c r="I13" s="9">
        <f t="shared" si="3"/>
        <v>9083441.273</v>
      </c>
      <c r="J13" s="9">
        <f t="shared" si="3"/>
        <v>13466687.039199999</v>
      </c>
      <c r="K13" s="9">
        <f t="shared" si="3"/>
        <v>18998792.375069998</v>
      </c>
      <c r="L13" s="9">
        <f t="shared" si="3"/>
        <v>25747150.355978496</v>
      </c>
      <c r="M13" s="9">
        <f t="shared" si="3"/>
        <v>33590993.261722118</v>
      </c>
      <c r="N13" s="9">
        <f t="shared" si="3"/>
        <v>42307805.237673648</v>
      </c>
      <c r="O13" s="9"/>
      <c r="P13" s="9">
        <f t="shared" ref="P13:V13" si="4">+P7+P6+P11</f>
        <v>0</v>
      </c>
      <c r="Q13" s="9">
        <f t="shared" si="4"/>
        <v>0</v>
      </c>
      <c r="R13" s="9">
        <f t="shared" si="4"/>
        <v>0</v>
      </c>
      <c r="S13" s="9">
        <f t="shared" si="4"/>
        <v>0</v>
      </c>
      <c r="T13" s="9">
        <f t="shared" si="4"/>
        <v>0</v>
      </c>
      <c r="U13" s="9">
        <f t="shared" si="4"/>
        <v>0</v>
      </c>
      <c r="V13" s="9">
        <f t="shared" si="4"/>
        <v>0</v>
      </c>
    </row>
    <row r="14" spans="2:22" ht="13.5" thickTop="1" x14ac:dyDescent="0.3"/>
    <row r="15" spans="2:22" x14ac:dyDescent="0.3">
      <c r="B15" s="3" t="s">
        <v>11</v>
      </c>
    </row>
    <row r="16" spans="2:22" x14ac:dyDescent="0.3">
      <c r="B16" s="6" t="s">
        <v>12</v>
      </c>
      <c r="C16" s="5">
        <v>1000</v>
      </c>
      <c r="D16" s="5">
        <v>1000</v>
      </c>
      <c r="E16" s="5">
        <f>D16</f>
        <v>1000</v>
      </c>
      <c r="F16" s="5">
        <f t="shared" ref="F16:N17" si="5">E16</f>
        <v>1000</v>
      </c>
      <c r="G16" s="5">
        <f t="shared" si="5"/>
        <v>1000</v>
      </c>
      <c r="H16" s="5">
        <f t="shared" si="5"/>
        <v>1000</v>
      </c>
      <c r="I16" s="5">
        <f t="shared" si="5"/>
        <v>1000</v>
      </c>
      <c r="J16" s="5">
        <f t="shared" si="5"/>
        <v>1000</v>
      </c>
      <c r="K16" s="5">
        <f t="shared" si="5"/>
        <v>1000</v>
      </c>
      <c r="L16" s="5">
        <f t="shared" si="5"/>
        <v>1000</v>
      </c>
      <c r="M16" s="5">
        <f t="shared" si="5"/>
        <v>1000</v>
      </c>
      <c r="N16" s="5">
        <f t="shared" si="5"/>
        <v>1000</v>
      </c>
      <c r="O16" s="5"/>
      <c r="P16" s="5"/>
      <c r="Q16" s="5"/>
      <c r="R16" s="5"/>
      <c r="S16" s="5"/>
      <c r="T16" s="5"/>
      <c r="U16" s="5"/>
      <c r="V16" s="5"/>
    </row>
    <row r="17" spans="2:22" x14ac:dyDescent="0.3">
      <c r="B17" s="6" t="s">
        <v>13</v>
      </c>
      <c r="C17" s="5">
        <v>109340</v>
      </c>
      <c r="D17" s="5">
        <v>109340</v>
      </c>
      <c r="E17" s="5">
        <v>0</v>
      </c>
      <c r="F17" s="5">
        <f t="shared" si="5"/>
        <v>0</v>
      </c>
      <c r="G17" s="5">
        <f t="shared" si="5"/>
        <v>0</v>
      </c>
      <c r="H17" s="5">
        <f t="shared" si="5"/>
        <v>0</v>
      </c>
      <c r="I17" s="5">
        <f t="shared" si="5"/>
        <v>0</v>
      </c>
      <c r="J17" s="5">
        <f t="shared" si="5"/>
        <v>0</v>
      </c>
      <c r="K17" s="5">
        <f t="shared" si="5"/>
        <v>0</v>
      </c>
      <c r="L17" s="5">
        <f t="shared" si="5"/>
        <v>0</v>
      </c>
      <c r="M17" s="5">
        <f t="shared" si="5"/>
        <v>0</v>
      </c>
      <c r="N17" s="5">
        <f t="shared" si="5"/>
        <v>0</v>
      </c>
      <c r="O17" s="5"/>
      <c r="P17" s="5"/>
      <c r="Q17" s="5"/>
      <c r="R17" s="5"/>
      <c r="S17" s="5"/>
      <c r="T17" s="5"/>
      <c r="U17" s="5"/>
      <c r="V17" s="5"/>
    </row>
    <row r="18" spans="2:22" x14ac:dyDescent="0.3">
      <c r="B18" s="6" t="s">
        <v>14</v>
      </c>
      <c r="C18" s="5">
        <v>2614</v>
      </c>
      <c r="D18" s="5">
        <f>+C18+C19</f>
        <v>21050</v>
      </c>
      <c r="E18" s="5">
        <f>+D18+D19-'Cash-Flow (Samba)'!F23</f>
        <v>250967</v>
      </c>
      <c r="F18" s="5">
        <f>+E18+E19-'Cash-Flow (Samba)'!G23</f>
        <v>761486</v>
      </c>
      <c r="G18" s="5">
        <f>+F18+F19-'Cash-Flow (Samba)'!H23</f>
        <v>1391906</v>
      </c>
      <c r="H18" s="5">
        <f>+G18+G19-'Cash-Flow (Samba)'!I23</f>
        <v>2567426</v>
      </c>
      <c r="I18" s="5">
        <f>+H18+H19-'Cash-Flow (Samba)'!J23</f>
        <v>4327290.5930000003</v>
      </c>
      <c r="J18" s="5">
        <f>+I18+I19-'Cash-Flow (Samba)'!K23</f>
        <v>6961378.1762000006</v>
      </c>
      <c r="K18" s="5">
        <f>+J18+J19-'Cash-Flow (Samba)'!L23</f>
        <v>10615078.914170001</v>
      </c>
      <c r="L18" s="5">
        <f>+K18+K19-'Cash-Flow (Samba)'!M23</f>
        <v>15314519.583341001</v>
      </c>
      <c r="M18" s="5">
        <f>+L18+L19-'Cash-Flow (Samba)'!N23</f>
        <v>21157093.681299627</v>
      </c>
      <c r="N18" s="5">
        <f>+M18+M19-'Cash-Flow (Samba)'!O23</f>
        <v>28105535.423673399</v>
      </c>
      <c r="O18" s="5"/>
      <c r="P18" s="5"/>
      <c r="Q18" s="5"/>
      <c r="R18" s="5"/>
      <c r="S18" s="5"/>
      <c r="T18" s="5"/>
      <c r="U18" s="5"/>
      <c r="V18" s="5"/>
    </row>
    <row r="19" spans="2:22" x14ac:dyDescent="0.3">
      <c r="B19" s="6" t="s">
        <v>15</v>
      </c>
      <c r="C19" s="7">
        <f>+'Income Statement (Samba)'!C18</f>
        <v>18436</v>
      </c>
      <c r="D19" s="7">
        <f>+'Income Statement (Samba)'!D18</f>
        <v>229917</v>
      </c>
      <c r="E19" s="7">
        <f>+'Income Statement (Samba)'!E18</f>
        <v>510519</v>
      </c>
      <c r="F19" s="7">
        <f>+'Income Statement (Samba)'!F18</f>
        <v>630420</v>
      </c>
      <c r="G19" s="7">
        <f>+'Income Statement (Samba)'!G18</f>
        <v>1175520</v>
      </c>
      <c r="H19" s="7">
        <f>+'Income Statement (Samba)'!H18</f>
        <v>1759864.5930000001</v>
      </c>
      <c r="I19" s="7">
        <f>+'Income Statement (Samba)'!I18</f>
        <v>2634087.5832000002</v>
      </c>
      <c r="J19" s="7">
        <f>+'Income Statement (Samba)'!J18</f>
        <v>3653700.7379699992</v>
      </c>
      <c r="K19" s="7">
        <f>+'Income Statement (Samba)'!K18</f>
        <v>4699440.6691709999</v>
      </c>
      <c r="L19" s="7">
        <f>+'Income Statement (Samba)'!L18</f>
        <v>5842574.0979586253</v>
      </c>
      <c r="M19" s="7">
        <f>+'Income Statement (Samba)'!M18</f>
        <v>6948441.7423737738</v>
      </c>
      <c r="N19" s="7">
        <f>+'Income Statement (Samba)'!N18</f>
        <v>7917657.2687886972</v>
      </c>
      <c r="P19" s="5"/>
      <c r="Q19" s="5"/>
      <c r="R19" s="5"/>
      <c r="S19" s="5"/>
      <c r="T19" s="5"/>
      <c r="U19" s="5"/>
      <c r="V19" s="5"/>
    </row>
    <row r="20" spans="2:22" ht="4.4000000000000004" customHeight="1" x14ac:dyDescent="0.3">
      <c r="B20" s="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2:22" ht="13.5" thickBot="1" x14ac:dyDescent="0.35">
      <c r="B21" s="8" t="s">
        <v>16</v>
      </c>
      <c r="C21" s="9">
        <f>SUM(C16:C19)</f>
        <v>131390</v>
      </c>
      <c r="D21" s="9">
        <f t="shared" ref="D21:V21" si="6">SUM(D16:D19)</f>
        <v>361307</v>
      </c>
      <c r="E21" s="9">
        <f t="shared" si="6"/>
        <v>762486</v>
      </c>
      <c r="F21" s="9">
        <f t="shared" si="6"/>
        <v>1392906</v>
      </c>
      <c r="G21" s="9">
        <f t="shared" si="6"/>
        <v>2568426</v>
      </c>
      <c r="H21" s="9">
        <f t="shared" si="6"/>
        <v>4328290.5930000003</v>
      </c>
      <c r="I21" s="9">
        <f t="shared" si="6"/>
        <v>6962378.1762000006</v>
      </c>
      <c r="J21" s="9">
        <f t="shared" si="6"/>
        <v>10616078.914170001</v>
      </c>
      <c r="K21" s="9">
        <f t="shared" si="6"/>
        <v>15315519.583341001</v>
      </c>
      <c r="L21" s="9">
        <f t="shared" si="6"/>
        <v>21158093.681299627</v>
      </c>
      <c r="M21" s="9">
        <f t="shared" si="6"/>
        <v>28106535.423673399</v>
      </c>
      <c r="N21" s="9">
        <f t="shared" si="6"/>
        <v>36024192.692462094</v>
      </c>
      <c r="O21" s="9"/>
      <c r="P21" s="9">
        <f t="shared" si="6"/>
        <v>0</v>
      </c>
      <c r="Q21" s="9">
        <f t="shared" si="6"/>
        <v>0</v>
      </c>
      <c r="R21" s="9">
        <f t="shared" si="6"/>
        <v>0</v>
      </c>
      <c r="S21" s="9">
        <f t="shared" si="6"/>
        <v>0</v>
      </c>
      <c r="T21" s="9">
        <f t="shared" si="6"/>
        <v>0</v>
      </c>
      <c r="U21" s="9">
        <f t="shared" si="6"/>
        <v>0</v>
      </c>
      <c r="V21" s="9">
        <f t="shared" si="6"/>
        <v>0</v>
      </c>
    </row>
    <row r="22" spans="2:22" ht="13.5" thickTop="1" x14ac:dyDescent="0.3"/>
    <row r="23" spans="2:22" x14ac:dyDescent="0.3">
      <c r="B23" s="3" t="s">
        <v>17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2:22" x14ac:dyDescent="0.3">
      <c r="B24" s="6" t="s">
        <v>18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2:22" x14ac:dyDescent="0.3">
      <c r="B25" s="10" t="s">
        <v>19</v>
      </c>
      <c r="C25" s="5">
        <v>190000</v>
      </c>
      <c r="D25" s="5">
        <v>146935</v>
      </c>
      <c r="E25" s="5">
        <v>9480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/>
      <c r="P25" s="5"/>
      <c r="Q25" s="5"/>
      <c r="R25" s="5"/>
      <c r="S25" s="5"/>
      <c r="T25" s="5"/>
      <c r="U25" s="5"/>
      <c r="V25" s="5"/>
    </row>
    <row r="26" spans="2:22" x14ac:dyDescent="0.3">
      <c r="B26" s="6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2:22" x14ac:dyDescent="0.3">
      <c r="B27" s="6" t="s">
        <v>20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2:22" x14ac:dyDescent="0.3">
      <c r="B28" s="10" t="s">
        <v>21</v>
      </c>
      <c r="C28" s="5">
        <v>16173</v>
      </c>
      <c r="D28" s="5">
        <v>93653</v>
      </c>
      <c r="E28" s="5">
        <v>138331</v>
      </c>
      <c r="F28" s="5">
        <f>'Assumptions (Samba)'!G16/365*('Income Statement (Samba)'!F6+'Income Statement (Samba)'!F5)</f>
        <v>423452.05479452061</v>
      </c>
      <c r="G28" s="5">
        <f>'Assumptions (Samba)'!H16/365*('Income Statement (Samba)'!G6+'Income Statement (Samba)'!G5)</f>
        <v>595479.45205479453</v>
      </c>
      <c r="H28" s="5">
        <f>'Assumptions (Samba)'!I16/365*('Income Statement (Samba)'!H6+'Income Statement (Samba)'!H5)</f>
        <v>857808.00000000012</v>
      </c>
      <c r="I28" s="5">
        <f>'Assumptions (Samba)'!J16/365*('Income Statement (Samba)'!I6+'Income Statement (Samba)'!I5)</f>
        <v>1168473.6000000001</v>
      </c>
      <c r="J28" s="5">
        <f>'Assumptions (Samba)'!K16/365*('Income Statement (Samba)'!J6+'Income Statement (Samba)'!J5)</f>
        <v>1555530.4800000002</v>
      </c>
      <c r="K28" s="5">
        <f>'Assumptions (Samba)'!L16/365*('Income Statement (Samba)'!K6+'Income Statement (Samba)'!K5)</f>
        <v>2022189.6240000003</v>
      </c>
      <c r="L28" s="5">
        <f>'Assumptions (Samba)'!M16/365*('Income Statement (Samba)'!L6+'Income Statement (Samba)'!L5)</f>
        <v>2527737.0300000007</v>
      </c>
      <c r="M28" s="5">
        <f>'Assumptions (Samba)'!N16/365*('Income Statement (Samba)'!M6+'Income Statement (Samba)'!M5)</f>
        <v>3033284.4360000007</v>
      </c>
      <c r="N28" s="5">
        <f>'Assumptions (Samba)'!O16/365*('Income Statement (Samba)'!N6+'Income Statement (Samba)'!N5)</f>
        <v>3488277.1014</v>
      </c>
      <c r="O28" s="5"/>
      <c r="P28" s="5"/>
      <c r="Q28" s="5"/>
      <c r="R28" s="5"/>
      <c r="S28" s="5"/>
      <c r="T28" s="5"/>
      <c r="U28" s="5"/>
      <c r="V28" s="5"/>
    </row>
    <row r="29" spans="2:22" x14ac:dyDescent="0.3">
      <c r="B29" s="10" t="s">
        <v>22</v>
      </c>
      <c r="C29" s="5">
        <v>4181</v>
      </c>
      <c r="D29" s="5">
        <v>61161</v>
      </c>
      <c r="E29" s="5">
        <v>70734</v>
      </c>
      <c r="F29" s="5">
        <f>'Income Statement (Samba)'!F16</f>
        <v>167580</v>
      </c>
      <c r="G29" s="5">
        <f>'Income Statement (Samba)'!G16</f>
        <v>312480</v>
      </c>
      <c r="H29" s="5">
        <f>'Income Statement (Samba)'!H16</f>
        <v>467812.10700000002</v>
      </c>
      <c r="I29" s="5">
        <f>'Income Statement (Samba)'!I16</f>
        <v>700200.49679999996</v>
      </c>
      <c r="J29" s="5">
        <f>'Income Statement (Samba)'!J16</f>
        <v>971236.90502999979</v>
      </c>
      <c r="K29" s="5">
        <f>'Income Statement (Samba)'!K16</f>
        <v>1249218.4057289998</v>
      </c>
      <c r="L29" s="5">
        <f>'Income Statement (Samba)'!L16</f>
        <v>1553089.317178875</v>
      </c>
      <c r="M29" s="5">
        <f>'Income Statement (Samba)'!M16</f>
        <v>1847054.1340487245</v>
      </c>
      <c r="N29" s="5">
        <f>'Income Statement (Samba)'!N16</f>
        <v>2104693.7043615524</v>
      </c>
      <c r="O29" s="5"/>
      <c r="P29" s="5"/>
      <c r="Q29" s="5"/>
      <c r="R29" s="5"/>
      <c r="S29" s="5"/>
      <c r="T29" s="5"/>
      <c r="U29" s="5"/>
      <c r="V29" s="5"/>
    </row>
    <row r="30" spans="2:22" x14ac:dyDescent="0.3">
      <c r="B30" s="10" t="s">
        <v>23</v>
      </c>
      <c r="C30" s="5">
        <v>158149</v>
      </c>
      <c r="D30" s="5">
        <v>29322</v>
      </c>
      <c r="E30" s="5">
        <v>28826</v>
      </c>
      <c r="F30" s="5">
        <f>'Assumptions (Samba)'!G14*'Income Statement (Samba)'!F6</f>
        <v>77700</v>
      </c>
      <c r="G30" s="5">
        <f>'Assumptions (Samba)'!H14*'Income Statement (Samba)'!G6</f>
        <v>110250</v>
      </c>
      <c r="H30" s="5">
        <f>'Assumptions (Samba)'!I14*'Income Statement (Samba)'!H6</f>
        <v>160965</v>
      </c>
      <c r="I30" s="5">
        <f>'Assumptions (Samba)'!J14*'Income Statement (Samba)'!I6</f>
        <v>225351</v>
      </c>
      <c r="J30" s="5">
        <f>'Assumptions (Samba)'!K14*'Income Statement (Samba)'!J6</f>
        <v>295531.74000000005</v>
      </c>
      <c r="K30" s="5">
        <f>'Assumptions (Samba)'!L14*'Income Statement (Samba)'!K6</f>
        <v>384191.26200000005</v>
      </c>
      <c r="L30" s="5">
        <f>'Assumptions (Samba)'!M14*'Income Statement (Samba)'!L6</f>
        <v>480239.07750000007</v>
      </c>
      <c r="M30" s="5">
        <f>'Assumptions (Samba)'!N14*'Income Statement (Samba)'!M6</f>
        <v>576286.89300000004</v>
      </c>
      <c r="N30" s="5">
        <f>'Assumptions (Samba)'!O14*'Income Statement (Samba)'!N6</f>
        <v>662729.92694999999</v>
      </c>
      <c r="O30" s="5"/>
      <c r="P30" s="5"/>
      <c r="Q30" s="5"/>
      <c r="R30" s="5"/>
      <c r="S30" s="5"/>
      <c r="T30" s="5"/>
      <c r="U30" s="5"/>
      <c r="V30" s="5"/>
    </row>
    <row r="31" spans="2:22" x14ac:dyDescent="0.3">
      <c r="B31" s="10" t="s">
        <v>24</v>
      </c>
      <c r="C31" s="5">
        <v>0</v>
      </c>
      <c r="D31" s="5">
        <v>55000</v>
      </c>
      <c r="E31" s="5">
        <v>0</v>
      </c>
      <c r="F31" s="5">
        <f t="shared" ref="F31:N32" si="7">AVERAGE(D31:E31)</f>
        <v>27500</v>
      </c>
      <c r="G31" s="5">
        <f t="shared" si="7"/>
        <v>13750</v>
      </c>
      <c r="H31" s="5">
        <f t="shared" si="7"/>
        <v>20625</v>
      </c>
      <c r="I31" s="5">
        <f t="shared" si="7"/>
        <v>17187.5</v>
      </c>
      <c r="J31" s="5">
        <f t="shared" si="7"/>
        <v>18906.25</v>
      </c>
      <c r="K31" s="5">
        <f t="shared" si="7"/>
        <v>18046.875</v>
      </c>
      <c r="L31" s="5">
        <f t="shared" si="7"/>
        <v>18476.5625</v>
      </c>
      <c r="M31" s="5">
        <f t="shared" si="7"/>
        <v>18261.71875</v>
      </c>
      <c r="N31" s="5">
        <f t="shared" si="7"/>
        <v>18369.140625</v>
      </c>
      <c r="O31" s="5"/>
      <c r="P31" s="5"/>
      <c r="Q31" s="5"/>
      <c r="R31" s="5"/>
      <c r="S31" s="5"/>
      <c r="T31" s="5"/>
      <c r="U31" s="5"/>
      <c r="V31" s="5"/>
    </row>
    <row r="32" spans="2:22" x14ac:dyDescent="0.3">
      <c r="B32" s="10" t="s">
        <v>25</v>
      </c>
      <c r="C32" s="5">
        <v>6000</v>
      </c>
      <c r="D32" s="5">
        <v>0</v>
      </c>
      <c r="E32" s="5">
        <v>14328</v>
      </c>
      <c r="F32" s="5">
        <f t="shared" si="7"/>
        <v>7164</v>
      </c>
      <c r="G32" s="5">
        <f t="shared" si="7"/>
        <v>10746</v>
      </c>
      <c r="H32" s="5">
        <f t="shared" si="7"/>
        <v>8955</v>
      </c>
      <c r="I32" s="5">
        <f t="shared" si="7"/>
        <v>9850.5</v>
      </c>
      <c r="J32" s="5">
        <f t="shared" si="7"/>
        <v>9402.75</v>
      </c>
      <c r="K32" s="5">
        <f t="shared" si="7"/>
        <v>9626.625</v>
      </c>
      <c r="L32" s="5">
        <f t="shared" si="7"/>
        <v>9514.6875</v>
      </c>
      <c r="M32" s="5">
        <f t="shared" si="7"/>
        <v>9570.65625</v>
      </c>
      <c r="N32" s="5">
        <f t="shared" si="7"/>
        <v>9542.671875</v>
      </c>
      <c r="O32" s="5"/>
      <c r="P32" s="5"/>
      <c r="Q32" s="5"/>
      <c r="R32" s="5"/>
      <c r="S32" s="5"/>
      <c r="T32" s="5"/>
      <c r="U32" s="5"/>
      <c r="V32" s="5"/>
    </row>
    <row r="33" spans="2:22" ht="4.4000000000000004" customHeight="1" x14ac:dyDescent="0.3">
      <c r="B33" s="6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2:22" ht="13.5" thickBot="1" x14ac:dyDescent="0.35">
      <c r="B34" s="8" t="s">
        <v>26</v>
      </c>
      <c r="C34" s="9">
        <f>+C28+C30+C29+C25+C32+C31</f>
        <v>374503</v>
      </c>
      <c r="D34" s="9">
        <f>+D28+D30+D29+D25+D31+D32</f>
        <v>386071</v>
      </c>
      <c r="E34" s="9">
        <f>SUM(E25:E32)</f>
        <v>261699</v>
      </c>
      <c r="F34" s="9">
        <f t="shared" ref="F34:N34" si="8">SUM(F25:F32)</f>
        <v>703396.05479452061</v>
      </c>
      <c r="G34" s="9">
        <f t="shared" si="8"/>
        <v>1042705.4520547945</v>
      </c>
      <c r="H34" s="9">
        <f t="shared" si="8"/>
        <v>1516165.1070000001</v>
      </c>
      <c r="I34" s="9">
        <f t="shared" si="8"/>
        <v>2121063.0967999999</v>
      </c>
      <c r="J34" s="9">
        <f t="shared" si="8"/>
        <v>2850608.1250300002</v>
      </c>
      <c r="K34" s="9">
        <f t="shared" si="8"/>
        <v>3683272.7917290004</v>
      </c>
      <c r="L34" s="9">
        <f t="shared" si="8"/>
        <v>4589056.6746788751</v>
      </c>
      <c r="M34" s="9">
        <f t="shared" si="8"/>
        <v>5484457.8380487254</v>
      </c>
      <c r="N34" s="9">
        <f t="shared" si="8"/>
        <v>6283612.5452115526</v>
      </c>
      <c r="O34" s="9"/>
      <c r="P34" s="9">
        <f t="shared" ref="P34:V34" si="9">+P28+P30+P29+P25</f>
        <v>0</v>
      </c>
      <c r="Q34" s="9">
        <f t="shared" si="9"/>
        <v>0</v>
      </c>
      <c r="R34" s="9">
        <f t="shared" si="9"/>
        <v>0</v>
      </c>
      <c r="S34" s="9">
        <f t="shared" si="9"/>
        <v>0</v>
      </c>
      <c r="T34" s="9">
        <f t="shared" si="9"/>
        <v>0</v>
      </c>
      <c r="U34" s="9">
        <f t="shared" si="9"/>
        <v>0</v>
      </c>
      <c r="V34" s="9">
        <f t="shared" si="9"/>
        <v>0</v>
      </c>
    </row>
    <row r="35" spans="2:22" ht="13.5" thickTop="1" x14ac:dyDescent="0.3"/>
    <row r="36" spans="2:22" x14ac:dyDescent="0.3">
      <c r="B36" s="11" t="s">
        <v>27</v>
      </c>
      <c r="C36" s="12">
        <f>+C13-C34-C21</f>
        <v>0</v>
      </c>
      <c r="D36" s="12">
        <f t="shared" ref="D36:V36" si="10">+D13-D34-D21</f>
        <v>0</v>
      </c>
      <c r="E36" s="12">
        <f t="shared" si="10"/>
        <v>0</v>
      </c>
      <c r="F36" s="12">
        <f>+F13-F34-F21</f>
        <v>0</v>
      </c>
      <c r="G36" s="12">
        <f t="shared" si="10"/>
        <v>0</v>
      </c>
      <c r="H36" s="12">
        <f t="shared" si="10"/>
        <v>0</v>
      </c>
      <c r="I36" s="12">
        <f t="shared" si="10"/>
        <v>0</v>
      </c>
      <c r="J36" s="12">
        <f t="shared" si="10"/>
        <v>0</v>
      </c>
      <c r="K36" s="12">
        <f t="shared" si="10"/>
        <v>0</v>
      </c>
      <c r="L36" s="12">
        <f t="shared" si="10"/>
        <v>0</v>
      </c>
      <c r="M36" s="12">
        <f t="shared" si="10"/>
        <v>0</v>
      </c>
      <c r="N36" s="12">
        <f t="shared" si="10"/>
        <v>0</v>
      </c>
      <c r="O36" s="12">
        <f t="shared" si="10"/>
        <v>0</v>
      </c>
      <c r="P36" s="12">
        <f t="shared" si="10"/>
        <v>0</v>
      </c>
      <c r="Q36" s="12">
        <f t="shared" si="10"/>
        <v>0</v>
      </c>
      <c r="R36" s="12">
        <f t="shared" si="10"/>
        <v>0</v>
      </c>
      <c r="S36" s="12">
        <f t="shared" si="10"/>
        <v>0</v>
      </c>
      <c r="T36" s="12">
        <f t="shared" si="10"/>
        <v>0</v>
      </c>
      <c r="U36" s="12">
        <f t="shared" si="10"/>
        <v>0</v>
      </c>
      <c r="V36" s="12">
        <f t="shared" si="10"/>
        <v>0</v>
      </c>
    </row>
    <row r="39" spans="2:22" x14ac:dyDescent="0.3">
      <c r="D39" s="13"/>
      <c r="E39" s="14"/>
    </row>
    <row r="40" spans="2:22" x14ac:dyDescent="0.3">
      <c r="D40" s="13"/>
      <c r="F40" s="13"/>
      <c r="G40" s="13"/>
      <c r="H40" s="13"/>
    </row>
    <row r="41" spans="2:22" x14ac:dyDescent="0.3">
      <c r="D41" s="13"/>
      <c r="F41" s="13"/>
    </row>
    <row r="43" spans="2:22" ht="15.5" x14ac:dyDescent="0.3">
      <c r="F43" s="15"/>
    </row>
    <row r="44" spans="2:22" ht="15.5" x14ac:dyDescent="0.3">
      <c r="F44" s="15"/>
    </row>
    <row r="45" spans="2:22" ht="15.5" x14ac:dyDescent="0.3">
      <c r="F45" s="15"/>
    </row>
    <row r="46" spans="2:22" ht="15.5" x14ac:dyDescent="0.3">
      <c r="F46" s="15"/>
    </row>
  </sheetData>
  <pageMargins left="0.75" right="0.75" top="1" bottom="1" header="0.5" footer="0.5"/>
  <pageSetup paperSize="0" orientation="portrait" horizontalDpi="4294967292" verticalDpi="4294967292"/>
  <ignoredErrors>
    <ignoredError sqref="F9 F31:F32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290F9-F7BD-4636-86AA-151E5B163807}">
  <dimension ref="B2:XFD102"/>
  <sheetViews>
    <sheetView showGridLines="0" workbookViewId="0">
      <selection activeCell="C25" sqref="C25:N32"/>
    </sheetView>
  </sheetViews>
  <sheetFormatPr baseColWidth="10" defaultColWidth="10.58203125" defaultRowHeight="13" x14ac:dyDescent="0.3"/>
  <cols>
    <col min="1" max="1" width="4" style="1" customWidth="1"/>
    <col min="2" max="2" width="32.58203125" style="1" bestFit="1" customWidth="1"/>
    <col min="3" max="3" width="14.08203125" style="1" bestFit="1" customWidth="1"/>
    <col min="4" max="4" width="11.58203125" style="1" bestFit="1" customWidth="1"/>
    <col min="5" max="5" width="10.58203125" style="1" bestFit="1" customWidth="1"/>
    <col min="6" max="9" width="9.5" style="1" bestFit="1" customWidth="1"/>
    <col min="10" max="13" width="12.08203125" style="1" customWidth="1"/>
    <col min="14" max="14" width="10.33203125" style="1" bestFit="1" customWidth="1"/>
    <col min="15" max="15" width="10.08203125" style="1" bestFit="1" customWidth="1"/>
    <col min="16" max="22" width="9.5" style="1" bestFit="1" customWidth="1"/>
    <col min="23" max="16384" width="10.58203125" style="1"/>
  </cols>
  <sheetData>
    <row r="2" spans="2:22 16384:16384" hidden="1" x14ac:dyDescent="0.3">
      <c r="C2" s="1">
        <v>1</v>
      </c>
      <c r="D2" s="1">
        <v>2</v>
      </c>
      <c r="E2" s="1">
        <v>3</v>
      </c>
      <c r="F2" s="1">
        <v>4</v>
      </c>
      <c r="G2" s="1">
        <v>5</v>
      </c>
      <c r="H2" s="1">
        <v>6</v>
      </c>
      <c r="I2" s="1">
        <v>7</v>
      </c>
      <c r="J2" s="1">
        <v>8</v>
      </c>
      <c r="K2" s="1">
        <v>9</v>
      </c>
      <c r="L2" s="1">
        <v>10</v>
      </c>
      <c r="M2" s="1">
        <v>11</v>
      </c>
      <c r="N2" s="1">
        <v>12</v>
      </c>
      <c r="O2" s="1">
        <v>13</v>
      </c>
      <c r="P2" s="1">
        <v>14</v>
      </c>
      <c r="Q2" s="1">
        <v>15</v>
      </c>
      <c r="R2" s="1">
        <v>16</v>
      </c>
      <c r="S2" s="1">
        <v>17</v>
      </c>
      <c r="T2" s="1">
        <v>18</v>
      </c>
      <c r="U2" s="1">
        <v>19</v>
      </c>
      <c r="V2" s="1">
        <v>20</v>
      </c>
    </row>
    <row r="3" spans="2:22 16384:16384" x14ac:dyDescent="0.3">
      <c r="B3" s="2" t="s">
        <v>28</v>
      </c>
      <c r="C3" s="2">
        <v>2019</v>
      </c>
      <c r="D3" s="2">
        <v>2020</v>
      </c>
      <c r="E3" s="2">
        <v>2021</v>
      </c>
      <c r="F3" s="2">
        <v>2022</v>
      </c>
      <c r="G3" s="2">
        <v>2023</v>
      </c>
      <c r="H3" s="2">
        <v>2024</v>
      </c>
      <c r="I3" s="2">
        <v>2025</v>
      </c>
      <c r="J3" s="2">
        <v>2026</v>
      </c>
      <c r="K3" s="2">
        <v>2027</v>
      </c>
      <c r="L3" s="2">
        <v>2028</v>
      </c>
      <c r="M3" s="2">
        <v>2029</v>
      </c>
      <c r="N3" s="2">
        <v>2030</v>
      </c>
      <c r="O3" s="2">
        <v>2031</v>
      </c>
      <c r="P3" s="2">
        <v>2032</v>
      </c>
      <c r="Q3" s="2">
        <v>2033</v>
      </c>
      <c r="R3" s="2">
        <v>2034</v>
      </c>
      <c r="S3" s="2">
        <v>2035</v>
      </c>
      <c r="T3" s="2">
        <v>2036</v>
      </c>
      <c r="U3" s="2">
        <v>2037</v>
      </c>
      <c r="V3" s="2">
        <v>2038</v>
      </c>
    </row>
    <row r="4" spans="2:22 16384:16384" x14ac:dyDescent="0.3">
      <c r="B4" s="4" t="s">
        <v>29</v>
      </c>
      <c r="C4" s="5">
        <v>1278257</v>
      </c>
      <c r="D4" s="5">
        <v>1735131</v>
      </c>
      <c r="E4" s="5">
        <v>3214681</v>
      </c>
      <c r="F4" s="5">
        <v>4200000</v>
      </c>
      <c r="G4" s="5">
        <v>6300000</v>
      </c>
      <c r="H4" s="5">
        <f>G4*('Assumptions (Samba)'!I9+1)</f>
        <v>9198000</v>
      </c>
      <c r="I4" s="5">
        <f>H4*('Assumptions (Samba)'!J9+1)</f>
        <v>12877200</v>
      </c>
      <c r="J4" s="5">
        <f>I4*('Assumptions (Samba)'!K9+1)</f>
        <v>17384220</v>
      </c>
      <c r="K4" s="5">
        <f>J4*('Assumptions (Samba)'!L9+1)</f>
        <v>22599486</v>
      </c>
      <c r="L4" s="5">
        <f>K4*('Assumptions (Samba)'!M9+1)</f>
        <v>28249357.5</v>
      </c>
      <c r="M4" s="5">
        <f>L4*('Assumptions (Samba)'!N9+1)</f>
        <v>33899229</v>
      </c>
      <c r="N4" s="5">
        <f>M4*('Assumptions (Samba)'!O9+1)</f>
        <v>38984113.349999994</v>
      </c>
      <c r="O4" s="5"/>
      <c r="P4" s="5"/>
      <c r="Q4" s="5"/>
      <c r="R4" s="5"/>
      <c r="S4" s="5"/>
      <c r="T4" s="5"/>
      <c r="U4" s="5"/>
      <c r="V4" s="5"/>
    </row>
    <row r="5" spans="2:22 16384:16384" x14ac:dyDescent="0.3">
      <c r="B5" s="4" t="s">
        <v>30</v>
      </c>
      <c r="C5" s="5">
        <v>731776</v>
      </c>
      <c r="D5" s="5">
        <v>997536</v>
      </c>
      <c r="E5" s="5">
        <v>63440</v>
      </c>
      <c r="F5" s="5">
        <f>F4*'Assumptions (Samba)'!G11</f>
        <v>1806000</v>
      </c>
      <c r="G5" s="5">
        <f>G4*'Assumptions (Samba)'!H11</f>
        <v>2520000</v>
      </c>
      <c r="H5" s="5">
        <f>H4*'Assumptions (Samba)'!I11</f>
        <v>3587220</v>
      </c>
      <c r="I5" s="5">
        <f>I4*'Assumptions (Samba)'!J11</f>
        <v>4764564</v>
      </c>
      <c r="J5" s="5">
        <f>J4*'Assumptions (Samba)'!K11</f>
        <v>6432161.4000000004</v>
      </c>
      <c r="K5" s="5">
        <f>K4*'Assumptions (Samba)'!L11</f>
        <v>8361809.8200000003</v>
      </c>
      <c r="L5" s="5">
        <f>L4*'Assumptions (Samba)'!M11</f>
        <v>10452262.275</v>
      </c>
      <c r="M5" s="5">
        <f>M4*'Assumptions (Samba)'!N11</f>
        <v>12542714.73</v>
      </c>
      <c r="N5" s="5">
        <f>N4*'Assumptions (Samba)'!O11</f>
        <v>14424121.939499998</v>
      </c>
      <c r="O5" s="5"/>
      <c r="P5" s="5"/>
      <c r="Q5" s="5"/>
      <c r="R5" s="5"/>
      <c r="S5" s="5"/>
      <c r="T5" s="5"/>
      <c r="U5" s="5"/>
      <c r="V5" s="5"/>
    </row>
    <row r="6" spans="2:22 16384:16384" x14ac:dyDescent="0.3">
      <c r="B6" s="4" t="s">
        <v>31</v>
      </c>
      <c r="C6" s="5">
        <v>486639</v>
      </c>
      <c r="D6" s="5">
        <v>424793</v>
      </c>
      <c r="E6" s="5">
        <v>2497342</v>
      </c>
      <c r="F6" s="5">
        <f>F4*'Assumptions (Samba)'!G13</f>
        <v>1554000</v>
      </c>
      <c r="G6" s="5">
        <f>G4*'Assumptions (Samba)'!H13</f>
        <v>2205000</v>
      </c>
      <c r="H6" s="5">
        <f>H4*'Assumptions (Samba)'!I13</f>
        <v>3219300</v>
      </c>
      <c r="I6" s="5">
        <f>I4*'Assumptions (Samba)'!J13</f>
        <v>4507020</v>
      </c>
      <c r="J6" s="5">
        <f>J4*'Assumptions (Samba)'!K13</f>
        <v>5910634.8000000007</v>
      </c>
      <c r="K6" s="5">
        <f>K4*'Assumptions (Samba)'!L13</f>
        <v>7683825.2400000002</v>
      </c>
      <c r="L6" s="5">
        <f>L4*'Assumptions (Samba)'!M13</f>
        <v>9604781.5500000007</v>
      </c>
      <c r="M6" s="5">
        <f>M4*'Assumptions (Samba)'!N13</f>
        <v>11525737.860000001</v>
      </c>
      <c r="N6" s="5">
        <f>N4*'Assumptions (Samba)'!O13</f>
        <v>13254598.538999999</v>
      </c>
      <c r="O6" s="5"/>
      <c r="P6" s="16"/>
      <c r="Q6" s="5"/>
      <c r="R6" s="5"/>
      <c r="S6" s="5"/>
      <c r="T6" s="5"/>
      <c r="U6" s="5"/>
      <c r="V6" s="5"/>
    </row>
    <row r="7" spans="2:22 16384:16384" x14ac:dyDescent="0.3">
      <c r="B7" s="4" t="s">
        <v>32</v>
      </c>
      <c r="C7" s="5">
        <v>36225</v>
      </c>
      <c r="D7" s="5">
        <v>21724</v>
      </c>
      <c r="E7" s="5">
        <v>7646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/>
      <c r="P7" s="5"/>
      <c r="Q7" s="5"/>
      <c r="R7" s="5"/>
      <c r="S7" s="5"/>
      <c r="T7" s="5"/>
      <c r="U7" s="5"/>
      <c r="V7" s="5"/>
    </row>
    <row r="8" spans="2:22 16384:16384" ht="3" customHeight="1" x14ac:dyDescent="0.3"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2:22 16384:16384" x14ac:dyDescent="0.3">
      <c r="B9" s="17" t="s">
        <v>33</v>
      </c>
      <c r="C9" s="18">
        <f>C4-C5-C6-C7</f>
        <v>23617</v>
      </c>
      <c r="D9" s="18">
        <f>D4-D5-D6-D7</f>
        <v>291078</v>
      </c>
      <c r="E9" s="18">
        <f>E4-E5-E6-E7</f>
        <v>646253</v>
      </c>
      <c r="F9" s="18">
        <f>F4-F5-F6-F7</f>
        <v>840000</v>
      </c>
      <c r="G9" s="18">
        <f>G4-G5-G6-G7</f>
        <v>1575000</v>
      </c>
      <c r="H9" s="18">
        <f t="shared" ref="H9:N9" si="0">H4-H5-H6-H7</f>
        <v>2391480</v>
      </c>
      <c r="I9" s="18">
        <f t="shared" si="0"/>
        <v>3605616</v>
      </c>
      <c r="J9" s="18">
        <f t="shared" si="0"/>
        <v>5041423.7999999989</v>
      </c>
      <c r="K9" s="18">
        <f t="shared" si="0"/>
        <v>6553850.9399999995</v>
      </c>
      <c r="L9" s="18">
        <f t="shared" si="0"/>
        <v>8192313.6750000007</v>
      </c>
      <c r="M9" s="18">
        <f t="shared" si="0"/>
        <v>9830776.4099999983</v>
      </c>
      <c r="N9" s="18">
        <f t="shared" si="0"/>
        <v>11305392.871499998</v>
      </c>
      <c r="O9" s="18"/>
      <c r="P9" s="18"/>
      <c r="Q9" s="18"/>
      <c r="R9" s="18"/>
      <c r="S9" s="18"/>
      <c r="T9" s="18"/>
      <c r="U9" s="18"/>
      <c r="V9" s="18"/>
      <c r="XFD9" s="7"/>
    </row>
    <row r="10" spans="2:22 16384:16384" ht="9" customHeight="1" x14ac:dyDescent="0.3">
      <c r="B10" s="4" t="s">
        <v>3</v>
      </c>
      <c r="C10" s="5">
        <v>0</v>
      </c>
      <c r="D10" s="5">
        <v>0</v>
      </c>
      <c r="E10" s="5">
        <v>0</v>
      </c>
      <c r="F10" s="5">
        <f>-'Intangibles and Deprec. (Samba)'!F18</f>
        <v>42000</v>
      </c>
      <c r="G10" s="5">
        <f>-'Intangibles and Deprec. (Samba)'!G18</f>
        <v>87000</v>
      </c>
      <c r="H10" s="5">
        <f>-'Intangibles and Deprec. (Samba)'!H18</f>
        <v>163803.29999999999</v>
      </c>
      <c r="I10" s="5">
        <f>-'Intangibles and Deprec. (Samba)'!I18</f>
        <v>271327.92</v>
      </c>
      <c r="J10" s="5">
        <f>-'Intangibles and Deprec. (Samba)'!J18</f>
        <v>416486.15700000001</v>
      </c>
      <c r="K10" s="5">
        <f>-'Intangibles and Deprec. (Samba)'!K18</f>
        <v>605191.86510000005</v>
      </c>
      <c r="L10" s="5">
        <f>-'Intangibles and Deprec. (Samba)'!L18</f>
        <v>796650.25986250001</v>
      </c>
      <c r="M10" s="5">
        <f>-'Intangibles and Deprec. (Samba)'!M18</f>
        <v>1035280.5335774999</v>
      </c>
      <c r="N10" s="5">
        <f>-'Intangibles and Deprec. (Samba)'!N18</f>
        <v>1283041.8983497499</v>
      </c>
      <c r="O10" s="5"/>
      <c r="P10" s="5"/>
      <c r="Q10" s="5"/>
      <c r="R10" s="5"/>
      <c r="S10" s="5"/>
      <c r="T10" s="5"/>
      <c r="U10" s="5"/>
      <c r="V10" s="5"/>
    </row>
    <row r="11" spans="2:22 16384:16384" ht="9" customHeight="1" x14ac:dyDescent="0.3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2:22 16384:16384" ht="9" customHeight="1" x14ac:dyDescent="0.3">
      <c r="B12" s="17" t="s">
        <v>34</v>
      </c>
      <c r="C12" s="18">
        <f>+C9-C10</f>
        <v>23617</v>
      </c>
      <c r="D12" s="18">
        <f>+D9-D10</f>
        <v>291078</v>
      </c>
      <c r="E12" s="18">
        <f>+E9-E10</f>
        <v>646253</v>
      </c>
      <c r="F12" s="18">
        <f>+F9-F10</f>
        <v>798000</v>
      </c>
      <c r="G12" s="18">
        <f>+G9-G10</f>
        <v>1488000</v>
      </c>
      <c r="H12" s="18">
        <f t="shared" ref="H12:N12" si="1">+H9-H10</f>
        <v>2227676.7000000002</v>
      </c>
      <c r="I12" s="18">
        <f t="shared" si="1"/>
        <v>3334288.08</v>
      </c>
      <c r="J12" s="18">
        <f t="shared" si="1"/>
        <v>4624937.6429999992</v>
      </c>
      <c r="K12" s="18">
        <f t="shared" si="1"/>
        <v>5948659.0748999994</v>
      </c>
      <c r="L12" s="18">
        <f t="shared" si="1"/>
        <v>7395663.4151375005</v>
      </c>
      <c r="M12" s="18">
        <f t="shared" si="1"/>
        <v>8795495.8764224984</v>
      </c>
      <c r="N12" s="18">
        <f t="shared" si="1"/>
        <v>10022350.97315025</v>
      </c>
      <c r="O12" s="18"/>
      <c r="P12" s="18"/>
      <c r="Q12" s="18"/>
      <c r="R12" s="18"/>
      <c r="S12" s="18"/>
      <c r="T12" s="18"/>
      <c r="U12" s="18"/>
      <c r="V12" s="18"/>
    </row>
    <row r="13" spans="2:22 16384:16384" x14ac:dyDescent="0.3">
      <c r="B13" s="4" t="s">
        <v>35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/>
      <c r="P13" s="5"/>
      <c r="Q13" s="5"/>
      <c r="R13" s="5"/>
      <c r="S13" s="5"/>
      <c r="T13" s="5"/>
      <c r="U13" s="5"/>
      <c r="V13" s="5"/>
    </row>
    <row r="14" spans="2:22 16384:16384" ht="3" customHeight="1" x14ac:dyDescent="0.3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2:22 16384:16384" x14ac:dyDescent="0.3">
      <c r="B15" s="17" t="s">
        <v>36</v>
      </c>
      <c r="C15" s="18">
        <f>+C12-C13</f>
        <v>23617</v>
      </c>
      <c r="D15" s="18">
        <f>+D12-D13</f>
        <v>291078</v>
      </c>
      <c r="E15" s="18">
        <f>+E12-E13</f>
        <v>646253</v>
      </c>
      <c r="F15" s="18">
        <f>+F12-F13</f>
        <v>798000</v>
      </c>
      <c r="G15" s="18">
        <f>+G12-G13</f>
        <v>1488000</v>
      </c>
      <c r="H15" s="18">
        <f t="shared" ref="H15:N15" si="2">+H12-H13</f>
        <v>2227676.7000000002</v>
      </c>
      <c r="I15" s="18">
        <f t="shared" si="2"/>
        <v>3334288.08</v>
      </c>
      <c r="J15" s="18">
        <f t="shared" si="2"/>
        <v>4624937.6429999992</v>
      </c>
      <c r="K15" s="18">
        <f t="shared" si="2"/>
        <v>5948659.0748999994</v>
      </c>
      <c r="L15" s="18">
        <f t="shared" si="2"/>
        <v>7395663.4151375005</v>
      </c>
      <c r="M15" s="18">
        <f t="shared" si="2"/>
        <v>8795495.8764224984</v>
      </c>
      <c r="N15" s="18">
        <f t="shared" si="2"/>
        <v>10022350.97315025</v>
      </c>
      <c r="O15" s="18"/>
      <c r="P15" s="18"/>
      <c r="Q15" s="18"/>
      <c r="R15" s="18"/>
      <c r="S15" s="18"/>
      <c r="T15" s="18"/>
      <c r="U15" s="18"/>
      <c r="V15" s="18"/>
    </row>
    <row r="16" spans="2:22 16384:16384" x14ac:dyDescent="0.3">
      <c r="B16" s="4" t="s">
        <v>37</v>
      </c>
      <c r="C16" s="5">
        <v>5181</v>
      </c>
      <c r="D16" s="5">
        <v>61161</v>
      </c>
      <c r="E16" s="5">
        <v>135734</v>
      </c>
      <c r="F16" s="5">
        <f>F15*'Assumptions (Samba)'!G5</f>
        <v>167580</v>
      </c>
      <c r="G16" s="5">
        <f>G15*'Assumptions (Samba)'!H5</f>
        <v>312480</v>
      </c>
      <c r="H16" s="5">
        <f>H15*'Assumptions (Samba)'!I5</f>
        <v>467812.10700000002</v>
      </c>
      <c r="I16" s="5">
        <f>I15*'Assumptions (Samba)'!J5</f>
        <v>700200.49679999996</v>
      </c>
      <c r="J16" s="5">
        <f>J15*'Assumptions (Samba)'!K5</f>
        <v>971236.90502999979</v>
      </c>
      <c r="K16" s="5">
        <f>K15*'Assumptions (Samba)'!L5</f>
        <v>1249218.4057289998</v>
      </c>
      <c r="L16" s="5">
        <f>L15*'Assumptions (Samba)'!M5</f>
        <v>1553089.317178875</v>
      </c>
      <c r="M16" s="5">
        <f>M15*'Assumptions (Samba)'!N5</f>
        <v>1847054.1340487245</v>
      </c>
      <c r="N16" s="5">
        <f>N15*'Assumptions (Samba)'!O5</f>
        <v>2104693.7043615524</v>
      </c>
      <c r="O16" s="5"/>
      <c r="P16" s="5"/>
      <c r="Q16" s="5"/>
      <c r="R16" s="5"/>
      <c r="S16" s="5"/>
      <c r="T16" s="5"/>
      <c r="U16" s="5"/>
      <c r="V16" s="5"/>
    </row>
    <row r="17" spans="2:22" ht="3" customHeight="1" x14ac:dyDescent="0.3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2:22" ht="13.5" thickBot="1" x14ac:dyDescent="0.35">
      <c r="B18" s="8" t="s">
        <v>38</v>
      </c>
      <c r="C18" s="9">
        <f>+C15-C16</f>
        <v>18436</v>
      </c>
      <c r="D18" s="9">
        <f>+D15-D16</f>
        <v>229917</v>
      </c>
      <c r="E18" s="9">
        <f>+E15-E16</f>
        <v>510519</v>
      </c>
      <c r="F18" s="9">
        <f>+F15-F16</f>
        <v>630420</v>
      </c>
      <c r="G18" s="9">
        <f>+G15-G16</f>
        <v>1175520</v>
      </c>
      <c r="H18" s="9">
        <f t="shared" ref="H18:N18" si="3">+H15-H16</f>
        <v>1759864.5930000001</v>
      </c>
      <c r="I18" s="9">
        <f t="shared" si="3"/>
        <v>2634087.5832000002</v>
      </c>
      <c r="J18" s="9">
        <f t="shared" si="3"/>
        <v>3653700.7379699992</v>
      </c>
      <c r="K18" s="9">
        <f t="shared" si="3"/>
        <v>4699440.6691709999</v>
      </c>
      <c r="L18" s="9">
        <f t="shared" si="3"/>
        <v>5842574.0979586253</v>
      </c>
      <c r="M18" s="9">
        <f t="shared" si="3"/>
        <v>6948441.7423737738</v>
      </c>
      <c r="N18" s="9">
        <f t="shared" si="3"/>
        <v>7917657.2687886972</v>
      </c>
      <c r="O18" s="9"/>
      <c r="P18" s="9"/>
      <c r="Q18" s="9"/>
      <c r="R18" s="9"/>
      <c r="S18" s="9"/>
      <c r="T18" s="9"/>
      <c r="U18" s="9"/>
      <c r="V18" s="9"/>
    </row>
    <row r="19" spans="2:22" ht="13.5" thickTop="1" x14ac:dyDescent="0.3"/>
    <row r="20" spans="2:22" x14ac:dyDescent="0.3">
      <c r="C20" s="7"/>
      <c r="D20" s="7"/>
    </row>
    <row r="21" spans="2:22" x14ac:dyDescent="0.3">
      <c r="B21" s="1" t="s">
        <v>39</v>
      </c>
      <c r="C21" s="19">
        <v>0.02</v>
      </c>
      <c r="H21" s="7"/>
    </row>
    <row r="22" spans="2:22" x14ac:dyDescent="0.3">
      <c r="H22" s="7"/>
    </row>
    <row r="23" spans="2:22" hidden="1" x14ac:dyDescent="0.3">
      <c r="B23" s="1" t="s">
        <v>40</v>
      </c>
      <c r="C23" s="7"/>
    </row>
    <row r="24" spans="2:22" hidden="1" x14ac:dyDescent="0.3">
      <c r="B24" s="1" t="s">
        <v>41</v>
      </c>
      <c r="C24" s="1">
        <v>20</v>
      </c>
    </row>
    <row r="25" spans="2:22" hidden="1" x14ac:dyDescent="0.3">
      <c r="B25" s="1" t="s">
        <v>42</v>
      </c>
      <c r="C25" s="7">
        <f>+C23/C24</f>
        <v>0</v>
      </c>
      <c r="D25" s="7"/>
    </row>
    <row r="26" spans="2:22" hidden="1" x14ac:dyDescent="0.3"/>
    <row r="27" spans="2:22" hidden="1" x14ac:dyDescent="0.3">
      <c r="B27" s="20" t="s">
        <v>43</v>
      </c>
      <c r="C27" s="21">
        <f>+C23*25%</f>
        <v>0</v>
      </c>
    </row>
    <row r="28" spans="2:22" hidden="1" x14ac:dyDescent="0.3">
      <c r="H28" s="7"/>
    </row>
    <row r="29" spans="2:22" hidden="1" x14ac:dyDescent="0.3">
      <c r="B29" s="20" t="s">
        <v>44</v>
      </c>
      <c r="C29" s="21">
        <f>+C23-C27-C44</f>
        <v>0</v>
      </c>
    </row>
    <row r="30" spans="2:22" hidden="1" x14ac:dyDescent="0.3">
      <c r="B30" s="1" t="s">
        <v>45</v>
      </c>
      <c r="C30" s="19">
        <v>0.04</v>
      </c>
    </row>
    <row r="31" spans="2:22" hidden="1" x14ac:dyDescent="0.3">
      <c r="B31" s="1" t="s">
        <v>46</v>
      </c>
      <c r="C31" s="1">
        <v>12</v>
      </c>
    </row>
    <row r="32" spans="2:22" hidden="1" x14ac:dyDescent="0.3"/>
    <row r="33" spans="2:18" hidden="1" x14ac:dyDescent="0.3">
      <c r="B33" s="1" t="s">
        <v>47</v>
      </c>
      <c r="C33" s="7">
        <f>C29/((1-(1+0.04)^(-12))/0.04)</f>
        <v>0</v>
      </c>
    </row>
    <row r="34" spans="2:18" hidden="1" x14ac:dyDescent="0.3"/>
    <row r="35" spans="2:18" hidden="1" x14ac:dyDescent="0.3">
      <c r="B35" s="1" t="s">
        <v>48</v>
      </c>
      <c r="C35" s="7">
        <f>+C33</f>
        <v>0</v>
      </c>
      <c r="D35" s="7">
        <f t="shared" ref="D35:N35" si="4">+C35</f>
        <v>0</v>
      </c>
      <c r="E35" s="7">
        <f t="shared" si="4"/>
        <v>0</v>
      </c>
      <c r="F35" s="7">
        <f t="shared" si="4"/>
        <v>0</v>
      </c>
      <c r="G35" s="7">
        <f t="shared" si="4"/>
        <v>0</v>
      </c>
      <c r="H35" s="7">
        <f t="shared" si="4"/>
        <v>0</v>
      </c>
      <c r="I35" s="7">
        <f t="shared" si="4"/>
        <v>0</v>
      </c>
      <c r="J35" s="7">
        <f t="shared" si="4"/>
        <v>0</v>
      </c>
      <c r="K35" s="7">
        <f t="shared" si="4"/>
        <v>0</v>
      </c>
      <c r="L35" s="7">
        <f t="shared" si="4"/>
        <v>0</v>
      </c>
      <c r="M35" s="7">
        <f t="shared" si="4"/>
        <v>0</v>
      </c>
      <c r="N35" s="7">
        <f t="shared" si="4"/>
        <v>0</v>
      </c>
      <c r="O35" s="7"/>
      <c r="P35" s="7"/>
      <c r="Q35" s="7"/>
      <c r="R35" s="7"/>
    </row>
    <row r="36" spans="2:18" hidden="1" x14ac:dyDescent="0.3">
      <c r="B36" s="1" t="s">
        <v>49</v>
      </c>
      <c r="C36" s="7">
        <f>+C29*$C$30</f>
        <v>0</v>
      </c>
      <c r="D36" s="7">
        <f t="shared" ref="D36:N36" si="5">+C39*$C$30</f>
        <v>0</v>
      </c>
      <c r="E36" s="7">
        <f t="shared" si="5"/>
        <v>0</v>
      </c>
      <c r="F36" s="7">
        <f t="shared" si="5"/>
        <v>0</v>
      </c>
      <c r="G36" s="7">
        <f t="shared" si="5"/>
        <v>0</v>
      </c>
      <c r="H36" s="7">
        <f t="shared" si="5"/>
        <v>0</v>
      </c>
      <c r="I36" s="7">
        <f t="shared" si="5"/>
        <v>0</v>
      </c>
      <c r="J36" s="7">
        <f t="shared" si="5"/>
        <v>0</v>
      </c>
      <c r="K36" s="7">
        <f t="shared" si="5"/>
        <v>0</v>
      </c>
      <c r="L36" s="7">
        <f t="shared" si="5"/>
        <v>0</v>
      </c>
      <c r="M36" s="7">
        <f t="shared" si="5"/>
        <v>0</v>
      </c>
      <c r="N36" s="7">
        <f t="shared" si="5"/>
        <v>0</v>
      </c>
      <c r="O36" s="7"/>
      <c r="P36" s="7"/>
      <c r="Q36" s="7"/>
      <c r="R36" s="7"/>
    </row>
    <row r="37" spans="2:18" hidden="1" x14ac:dyDescent="0.3">
      <c r="B37" s="1" t="s">
        <v>50</v>
      </c>
      <c r="C37" s="7">
        <f t="shared" ref="C37:N37" si="6">+C35-C36</f>
        <v>0</v>
      </c>
      <c r="D37" s="7">
        <f t="shared" si="6"/>
        <v>0</v>
      </c>
      <c r="E37" s="7">
        <f t="shared" si="6"/>
        <v>0</v>
      </c>
      <c r="F37" s="7">
        <f t="shared" si="6"/>
        <v>0</v>
      </c>
      <c r="G37" s="7">
        <f t="shared" si="6"/>
        <v>0</v>
      </c>
      <c r="H37" s="7">
        <f t="shared" si="6"/>
        <v>0</v>
      </c>
      <c r="I37" s="7">
        <f t="shared" si="6"/>
        <v>0</v>
      </c>
      <c r="J37" s="7">
        <f t="shared" si="6"/>
        <v>0</v>
      </c>
      <c r="K37" s="7">
        <f t="shared" si="6"/>
        <v>0</v>
      </c>
      <c r="L37" s="7">
        <f t="shared" si="6"/>
        <v>0</v>
      </c>
      <c r="M37" s="7">
        <f t="shared" si="6"/>
        <v>0</v>
      </c>
      <c r="N37" s="7">
        <f t="shared" si="6"/>
        <v>0</v>
      </c>
      <c r="O37" s="7"/>
      <c r="P37" s="7"/>
      <c r="Q37" s="7"/>
      <c r="R37" s="7"/>
    </row>
    <row r="38" spans="2:18" hidden="1" x14ac:dyDescent="0.3"/>
    <row r="39" spans="2:18" hidden="1" x14ac:dyDescent="0.3">
      <c r="B39" s="1" t="s">
        <v>51</v>
      </c>
      <c r="C39" s="7">
        <f>+C29-C37</f>
        <v>0</v>
      </c>
      <c r="D39" s="7">
        <f t="shared" ref="D39:N39" si="7">+C39-D37</f>
        <v>0</v>
      </c>
      <c r="E39" s="7">
        <f t="shared" si="7"/>
        <v>0</v>
      </c>
      <c r="F39" s="7">
        <f t="shared" si="7"/>
        <v>0</v>
      </c>
      <c r="G39" s="7">
        <f t="shared" si="7"/>
        <v>0</v>
      </c>
      <c r="H39" s="7">
        <f t="shared" si="7"/>
        <v>0</v>
      </c>
      <c r="I39" s="7">
        <f t="shared" si="7"/>
        <v>0</v>
      </c>
      <c r="J39" s="7">
        <f t="shared" si="7"/>
        <v>0</v>
      </c>
      <c r="K39" s="7">
        <f t="shared" si="7"/>
        <v>0</v>
      </c>
      <c r="L39" s="7">
        <f t="shared" si="7"/>
        <v>0</v>
      </c>
      <c r="M39" s="7">
        <f t="shared" si="7"/>
        <v>0</v>
      </c>
      <c r="N39" s="7">
        <f t="shared" si="7"/>
        <v>0</v>
      </c>
      <c r="O39" s="7"/>
      <c r="P39" s="7"/>
      <c r="Q39" s="7"/>
      <c r="R39" s="7"/>
    </row>
    <row r="40" spans="2:18" hidden="1" x14ac:dyDescent="0.3"/>
    <row r="41" spans="2:18" hidden="1" x14ac:dyDescent="0.3"/>
    <row r="42" spans="2:18" hidden="1" x14ac:dyDescent="0.3">
      <c r="B42" s="1" t="s">
        <v>52</v>
      </c>
      <c r="C42" s="22">
        <v>0.22500000000000001</v>
      </c>
    </row>
    <row r="43" spans="2:18" hidden="1" x14ac:dyDescent="0.3"/>
    <row r="44" spans="2:18" hidden="1" x14ac:dyDescent="0.3">
      <c r="B44" s="20" t="s">
        <v>53</v>
      </c>
      <c r="C44" s="21">
        <f>+C23*50%</f>
        <v>0</v>
      </c>
      <c r="E44" s="23" t="s">
        <v>54</v>
      </c>
      <c r="F44" s="23"/>
      <c r="G44" s="23"/>
      <c r="H44" s="24">
        <v>0.5</v>
      </c>
      <c r="I44" s="7">
        <f>+H44*C44</f>
        <v>0</v>
      </c>
      <c r="J44" s="1" t="s">
        <v>55</v>
      </c>
    </row>
    <row r="45" spans="2:18" hidden="1" x14ac:dyDescent="0.3">
      <c r="B45" s="1" t="s">
        <v>45</v>
      </c>
      <c r="C45" s="19">
        <v>0</v>
      </c>
    </row>
    <row r="46" spans="2:18" hidden="1" x14ac:dyDescent="0.3">
      <c r="B46" s="1" t="s">
        <v>46</v>
      </c>
      <c r="C46" s="1">
        <v>6</v>
      </c>
      <c r="D46" s="1" t="s">
        <v>56</v>
      </c>
    </row>
    <row r="47" spans="2:18" hidden="1" x14ac:dyDescent="0.3"/>
    <row r="48" spans="2:18" hidden="1" x14ac:dyDescent="0.3">
      <c r="B48" s="1" t="s">
        <v>47</v>
      </c>
      <c r="C48" s="7">
        <f>+C44/C46</f>
        <v>0</v>
      </c>
    </row>
    <row r="49" spans="2:14" hidden="1" x14ac:dyDescent="0.3"/>
    <row r="50" spans="2:14" hidden="1" x14ac:dyDescent="0.3">
      <c r="B50" s="1" t="s">
        <v>48</v>
      </c>
      <c r="C50" s="7"/>
      <c r="D50" s="7"/>
      <c r="E50" s="7">
        <f>+C48</f>
        <v>0</v>
      </c>
      <c r="F50" s="7">
        <f>+E50</f>
        <v>0</v>
      </c>
      <c r="G50" s="7">
        <f>+F50</f>
        <v>0</v>
      </c>
      <c r="H50" s="7">
        <f>+G50</f>
        <v>0</v>
      </c>
      <c r="I50" s="7">
        <f>+H50</f>
        <v>0</v>
      </c>
      <c r="J50" s="7">
        <f>+I50</f>
        <v>0</v>
      </c>
      <c r="K50" s="7"/>
      <c r="L50" s="7"/>
      <c r="M50" s="7"/>
      <c r="N50" s="7"/>
    </row>
    <row r="51" spans="2:14" hidden="1" x14ac:dyDescent="0.3">
      <c r="B51" s="1" t="s">
        <v>49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2:14" hidden="1" x14ac:dyDescent="0.3">
      <c r="B52" s="1" t="s">
        <v>50</v>
      </c>
      <c r="C52" s="7"/>
      <c r="D52" s="7"/>
      <c r="E52" s="7">
        <f t="shared" ref="E52:J52" si="8">+E50-E51</f>
        <v>0</v>
      </c>
      <c r="F52" s="7">
        <f t="shared" si="8"/>
        <v>0</v>
      </c>
      <c r="G52" s="7">
        <f t="shared" si="8"/>
        <v>0</v>
      </c>
      <c r="H52" s="7">
        <f t="shared" si="8"/>
        <v>0</v>
      </c>
      <c r="I52" s="7">
        <f t="shared" si="8"/>
        <v>0</v>
      </c>
      <c r="J52" s="7">
        <f t="shared" si="8"/>
        <v>0</v>
      </c>
      <c r="K52" s="7"/>
      <c r="L52" s="7"/>
      <c r="M52" s="7"/>
      <c r="N52" s="7"/>
    </row>
    <row r="53" spans="2:14" hidden="1" x14ac:dyDescent="0.3"/>
    <row r="54" spans="2:14" hidden="1" x14ac:dyDescent="0.3">
      <c r="B54" s="1" t="s">
        <v>51</v>
      </c>
      <c r="C54" s="7">
        <f>+C44-C52</f>
        <v>0</v>
      </c>
      <c r="D54" s="7">
        <f t="shared" ref="D54:J54" si="9">+C54-D52</f>
        <v>0</v>
      </c>
      <c r="E54" s="7">
        <f t="shared" si="9"/>
        <v>0</v>
      </c>
      <c r="F54" s="7">
        <f t="shared" si="9"/>
        <v>0</v>
      </c>
      <c r="G54" s="7">
        <f t="shared" si="9"/>
        <v>0</v>
      </c>
      <c r="H54" s="7">
        <f t="shared" si="9"/>
        <v>0</v>
      </c>
      <c r="I54" s="7">
        <f t="shared" si="9"/>
        <v>0</v>
      </c>
      <c r="J54" s="7">
        <f t="shared" si="9"/>
        <v>0</v>
      </c>
      <c r="K54" s="7"/>
      <c r="L54" s="7"/>
      <c r="M54" s="7"/>
      <c r="N54" s="7"/>
    </row>
    <row r="55" spans="2:14" hidden="1" x14ac:dyDescent="0.3"/>
    <row r="56" spans="2:14" hidden="1" x14ac:dyDescent="0.3"/>
    <row r="57" spans="2:14" hidden="1" x14ac:dyDescent="0.3"/>
    <row r="58" spans="2:14" hidden="1" x14ac:dyDescent="0.3"/>
    <row r="59" spans="2:14" hidden="1" x14ac:dyDescent="0.3"/>
    <row r="60" spans="2:14" hidden="1" x14ac:dyDescent="0.3"/>
    <row r="61" spans="2:14" hidden="1" x14ac:dyDescent="0.3"/>
    <row r="62" spans="2:14" hidden="1" x14ac:dyDescent="0.3"/>
    <row r="63" spans="2:14" hidden="1" x14ac:dyDescent="0.3"/>
    <row r="64" spans="2:1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spans="4:4" hidden="1" x14ac:dyDescent="0.3"/>
    <row r="102" spans="4:4" x14ac:dyDescent="0.3">
      <c r="D102" s="7"/>
    </row>
  </sheetData>
  <pageMargins left="0.75" right="0.75" top="1" bottom="1" header="0.5" footer="0.5"/>
  <pageSetup paperSize="0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147F4-9671-4633-83D3-1FA2EE490C09}">
  <dimension ref="B3:XFD74"/>
  <sheetViews>
    <sheetView showGridLines="0" topLeftCell="A2" zoomScale="90" zoomScaleNormal="90" workbookViewId="0">
      <selection activeCell="C25" sqref="C25:N32"/>
    </sheetView>
  </sheetViews>
  <sheetFormatPr baseColWidth="10" defaultColWidth="10.58203125" defaultRowHeight="13" x14ac:dyDescent="0.3"/>
  <cols>
    <col min="1" max="1" width="1.08203125" style="1" customWidth="1"/>
    <col min="2" max="2" width="29.58203125" style="1" bestFit="1" customWidth="1"/>
    <col min="3" max="3" width="46.08203125" style="1" customWidth="1"/>
    <col min="4" max="4" width="12.08203125" style="1" bestFit="1" customWidth="1"/>
    <col min="5" max="5" width="13" style="1" bestFit="1" customWidth="1"/>
    <col min="6" max="6" width="9.08203125" style="1" bestFit="1" customWidth="1"/>
    <col min="7" max="7" width="9.5" style="1" bestFit="1" customWidth="1"/>
    <col min="8" max="8" width="9.58203125" style="1" bestFit="1" customWidth="1"/>
    <col min="9" max="9" width="10.08203125" style="1" bestFit="1" customWidth="1"/>
    <col min="10" max="10" width="10" style="1" bestFit="1" customWidth="1"/>
    <col min="11" max="12" width="9.83203125" style="1" bestFit="1" customWidth="1"/>
    <col min="13" max="13" width="10.08203125" style="1" bestFit="1" customWidth="1"/>
    <col min="14" max="15" width="10.5" style="1" bestFit="1" customWidth="1"/>
    <col min="16" max="16" width="9.5" style="1" bestFit="1" customWidth="1"/>
    <col min="17" max="17" width="9.58203125" style="1" bestFit="1" customWidth="1"/>
    <col min="18" max="19" width="9.5" style="1" bestFit="1" customWidth="1"/>
    <col min="20" max="21" width="9.58203125" style="1" bestFit="1" customWidth="1"/>
    <col min="22" max="23" width="9.08203125" style="1" bestFit="1" customWidth="1"/>
    <col min="24" max="16384" width="10.58203125" style="1"/>
  </cols>
  <sheetData>
    <row r="3" spans="2:23" x14ac:dyDescent="0.3">
      <c r="B3" s="2" t="s">
        <v>57</v>
      </c>
      <c r="C3" s="2"/>
      <c r="D3" s="2">
        <v>2019</v>
      </c>
      <c r="E3" s="2">
        <v>2020</v>
      </c>
      <c r="F3" s="2">
        <v>2021</v>
      </c>
      <c r="G3" s="2">
        <v>2022</v>
      </c>
      <c r="H3" s="2">
        <v>2023</v>
      </c>
      <c r="I3" s="2">
        <v>2024</v>
      </c>
      <c r="J3" s="2">
        <v>2025</v>
      </c>
      <c r="K3" s="2">
        <v>2026</v>
      </c>
      <c r="L3" s="2">
        <v>2027</v>
      </c>
      <c r="M3" s="2">
        <v>2028</v>
      </c>
      <c r="N3" s="2">
        <v>2029</v>
      </c>
      <c r="O3" s="2">
        <v>2030</v>
      </c>
      <c r="P3" s="2">
        <v>2031</v>
      </c>
      <c r="Q3" s="2">
        <v>2032</v>
      </c>
      <c r="R3" s="2">
        <v>2033</v>
      </c>
      <c r="S3" s="2">
        <v>2034</v>
      </c>
      <c r="T3" s="2">
        <v>2035</v>
      </c>
      <c r="U3" s="2">
        <v>2036</v>
      </c>
      <c r="V3" s="2">
        <v>2037</v>
      </c>
      <c r="W3" s="2">
        <v>2038</v>
      </c>
    </row>
    <row r="4" spans="2:23" ht="4.4000000000000004" customHeight="1" x14ac:dyDescent="0.3"/>
    <row r="5" spans="2:23" x14ac:dyDescent="0.3">
      <c r="B5" s="6" t="s">
        <v>34</v>
      </c>
      <c r="C5" s="4"/>
      <c r="D5" s="5">
        <f>+'Income Statement (Samba)'!C12</f>
        <v>23617</v>
      </c>
      <c r="E5" s="5">
        <f>+'Income Statement (Samba)'!D12</f>
        <v>291078</v>
      </c>
      <c r="F5" s="5">
        <f>+'Income Statement (Samba)'!E12</f>
        <v>646253</v>
      </c>
      <c r="G5" s="5">
        <f>+'Income Statement (Samba)'!F12</f>
        <v>798000</v>
      </c>
      <c r="H5" s="5">
        <f>+'Income Statement (Samba)'!G12</f>
        <v>1488000</v>
      </c>
      <c r="I5" s="5">
        <f>+'Income Statement (Samba)'!H12</f>
        <v>2227676.7000000002</v>
      </c>
      <c r="J5" s="5">
        <f>+'Income Statement (Samba)'!I12</f>
        <v>3334288.08</v>
      </c>
      <c r="K5" s="5">
        <f>+'Income Statement (Samba)'!J12</f>
        <v>4624937.6429999992</v>
      </c>
      <c r="L5" s="5">
        <f>+'Income Statement (Samba)'!K12</f>
        <v>5948659.0748999994</v>
      </c>
      <c r="M5" s="5">
        <f>+'Income Statement (Samba)'!L12</f>
        <v>7395663.4151375005</v>
      </c>
      <c r="N5" s="5">
        <f>+'Income Statement (Samba)'!M12</f>
        <v>8795495.8764224984</v>
      </c>
      <c r="O5" s="5">
        <f>+'Income Statement (Samba)'!N12</f>
        <v>10022350.97315025</v>
      </c>
      <c r="P5" s="5"/>
      <c r="Q5" s="5">
        <f>+'Income Statement (Samba)'!P12</f>
        <v>0</v>
      </c>
      <c r="R5" s="5">
        <f>+'Income Statement (Samba)'!Q12</f>
        <v>0</v>
      </c>
      <c r="S5" s="5">
        <f>+'Income Statement (Samba)'!R12</f>
        <v>0</v>
      </c>
      <c r="T5" s="5">
        <f>+'Income Statement (Samba)'!S12</f>
        <v>0</v>
      </c>
      <c r="U5" s="5">
        <f>+'Income Statement (Samba)'!T12</f>
        <v>0</v>
      </c>
      <c r="V5" s="5">
        <f>+'Income Statement (Samba)'!U12</f>
        <v>0</v>
      </c>
      <c r="W5" s="5">
        <f>+'Income Statement (Samba)'!V12</f>
        <v>0</v>
      </c>
    </row>
    <row r="6" spans="2:23" x14ac:dyDescent="0.3">
      <c r="B6" s="6" t="s">
        <v>3</v>
      </c>
      <c r="C6" s="4"/>
      <c r="D6" s="5">
        <f>+'Income Statement (Samba)'!C10</f>
        <v>0</v>
      </c>
      <c r="E6" s="5">
        <f>+'Income Statement (Samba)'!D10</f>
        <v>0</v>
      </c>
      <c r="F6" s="5">
        <v>0</v>
      </c>
      <c r="G6" s="5">
        <f>-'Intangibles and Deprec. (Samba)'!F18</f>
        <v>42000</v>
      </c>
      <c r="H6" s="5">
        <f>-'Intangibles and Deprec. (Samba)'!G18</f>
        <v>87000</v>
      </c>
      <c r="I6" s="5">
        <f>-'Intangibles and Deprec. (Samba)'!H18</f>
        <v>163803.29999999999</v>
      </c>
      <c r="J6" s="5">
        <f>-'Intangibles and Deprec. (Samba)'!I18</f>
        <v>271327.92</v>
      </c>
      <c r="K6" s="5">
        <f>-'Intangibles and Deprec. (Samba)'!J18</f>
        <v>416486.15700000001</v>
      </c>
      <c r="L6" s="5">
        <f>-'Intangibles and Deprec. (Samba)'!K18</f>
        <v>605191.86510000005</v>
      </c>
      <c r="M6" s="5">
        <f>-'Intangibles and Deprec. (Samba)'!L18</f>
        <v>796650.25986250001</v>
      </c>
      <c r="N6" s="5">
        <f>-'Intangibles and Deprec. (Samba)'!M18</f>
        <v>1035280.5335774999</v>
      </c>
      <c r="O6" s="5">
        <f>-'Intangibles and Deprec. (Samba)'!N18</f>
        <v>1283041.8983497499</v>
      </c>
      <c r="P6" s="5"/>
      <c r="Q6" s="5">
        <f>+'Income Statement (Samba)'!P10</f>
        <v>0</v>
      </c>
      <c r="R6" s="5">
        <f>+'Income Statement (Samba)'!Q10</f>
        <v>0</v>
      </c>
      <c r="S6" s="5">
        <f>+'Income Statement (Samba)'!R10</f>
        <v>0</v>
      </c>
      <c r="T6" s="5">
        <f>+'Income Statement (Samba)'!S10</f>
        <v>0</v>
      </c>
      <c r="U6" s="5">
        <f>+'Income Statement (Samba)'!T10</f>
        <v>0</v>
      </c>
      <c r="V6" s="5">
        <f>+'Income Statement (Samba)'!U10</f>
        <v>0</v>
      </c>
      <c r="W6" s="5">
        <f>+'Income Statement (Samba)'!V10</f>
        <v>0</v>
      </c>
    </row>
    <row r="7" spans="2:23" x14ac:dyDescent="0.3">
      <c r="B7" s="6" t="s">
        <v>58</v>
      </c>
      <c r="C7" s="4"/>
      <c r="D7" s="5">
        <f>+D29-C29</f>
        <v>-88652</v>
      </c>
      <c r="E7" s="5">
        <f t="shared" ref="E7:O7" si="0">+E29-D29</f>
        <v>-77459</v>
      </c>
      <c r="F7" s="5">
        <f t="shared" si="0"/>
        <v>-40623</v>
      </c>
      <c r="G7" s="5">
        <f t="shared" si="0"/>
        <v>-289727.31506849325</v>
      </c>
      <c r="H7" s="5">
        <f t="shared" si="0"/>
        <v>-260241.02739726019</v>
      </c>
      <c r="I7" s="5">
        <f t="shared" si="0"/>
        <v>-350747.26453424664</v>
      </c>
      <c r="J7" s="5">
        <f t="shared" si="0"/>
        <v>-455506.23979999986</v>
      </c>
      <c r="K7" s="5">
        <f t="shared" si="0"/>
        <v>-543420.90323000029</v>
      </c>
      <c r="L7" s="5">
        <f t="shared" si="0"/>
        <v>-618790.72919900017</v>
      </c>
      <c r="M7" s="5">
        <f t="shared" si="0"/>
        <v>-673371.35169987474</v>
      </c>
      <c r="N7" s="5">
        <f t="shared" si="0"/>
        <v>-663327.67899485026</v>
      </c>
      <c r="O7" s="5">
        <f t="shared" si="0"/>
        <v>-590130.34935032763</v>
      </c>
      <c r="P7" s="5"/>
      <c r="Q7" s="5">
        <f t="shared" ref="Q7:W7" si="1">+Q29-P29</f>
        <v>0</v>
      </c>
      <c r="R7" s="5">
        <f t="shared" si="1"/>
        <v>0</v>
      </c>
      <c r="S7" s="5">
        <f t="shared" si="1"/>
        <v>0</v>
      </c>
      <c r="T7" s="5">
        <f t="shared" si="1"/>
        <v>0</v>
      </c>
      <c r="U7" s="5">
        <f t="shared" si="1"/>
        <v>0</v>
      </c>
      <c r="V7" s="5">
        <f t="shared" si="1"/>
        <v>0</v>
      </c>
      <c r="W7" s="5">
        <f t="shared" si="1"/>
        <v>0</v>
      </c>
    </row>
    <row r="8" spans="2:23" ht="4.4000000000000004" customHeight="1" x14ac:dyDescent="0.3">
      <c r="B8" s="6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2:23" ht="13.5" thickBot="1" x14ac:dyDescent="0.35">
      <c r="B9" s="8" t="s">
        <v>59</v>
      </c>
      <c r="C9" s="8"/>
      <c r="D9" s="9">
        <f>+D5+D6-D7</f>
        <v>112269</v>
      </c>
      <c r="E9" s="9">
        <f>+E5+E6-E7</f>
        <v>368537</v>
      </c>
      <c r="F9" s="9">
        <f>+F5+F6-F7</f>
        <v>686876</v>
      </c>
      <c r="G9" s="9">
        <f t="shared" ref="G9:W9" si="2">+G5+G6-G7</f>
        <v>1129727.3150684931</v>
      </c>
      <c r="H9" s="9">
        <f t="shared" si="2"/>
        <v>1835241.0273972601</v>
      </c>
      <c r="I9" s="9">
        <f t="shared" si="2"/>
        <v>2742227.2645342466</v>
      </c>
      <c r="J9" s="9">
        <f t="shared" si="2"/>
        <v>4061122.2397999996</v>
      </c>
      <c r="K9" s="9">
        <f t="shared" si="2"/>
        <v>5584844.7032299992</v>
      </c>
      <c r="L9" s="9">
        <f t="shared" si="2"/>
        <v>7172641.6691989992</v>
      </c>
      <c r="M9" s="9">
        <f t="shared" si="2"/>
        <v>8865685.0266998746</v>
      </c>
      <c r="N9" s="9">
        <f t="shared" si="2"/>
        <v>10494104.088994849</v>
      </c>
      <c r="O9" s="9">
        <f t="shared" si="2"/>
        <v>11895523.220850328</v>
      </c>
      <c r="P9" s="9">
        <f t="shared" si="2"/>
        <v>0</v>
      </c>
      <c r="Q9" s="9">
        <f t="shared" si="2"/>
        <v>0</v>
      </c>
      <c r="R9" s="9">
        <f t="shared" si="2"/>
        <v>0</v>
      </c>
      <c r="S9" s="9">
        <f t="shared" si="2"/>
        <v>0</v>
      </c>
      <c r="T9" s="9">
        <f t="shared" si="2"/>
        <v>0</v>
      </c>
      <c r="U9" s="9">
        <f t="shared" si="2"/>
        <v>0</v>
      </c>
      <c r="V9" s="9">
        <f t="shared" si="2"/>
        <v>0</v>
      </c>
      <c r="W9" s="9">
        <f t="shared" si="2"/>
        <v>0</v>
      </c>
    </row>
    <row r="10" spans="2:23" ht="3" customHeight="1" thickTop="1" x14ac:dyDescent="0.3">
      <c r="B10" s="23"/>
      <c r="C10" s="23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</row>
    <row r="11" spans="2:23" x14ac:dyDescent="0.3">
      <c r="B11" s="6" t="s">
        <v>37</v>
      </c>
      <c r="C11" s="4"/>
      <c r="D11" s="5">
        <f>+'Income Statement (Samba)'!C16</f>
        <v>5181</v>
      </c>
      <c r="E11" s="5">
        <f>+'Income Statement (Samba)'!D16</f>
        <v>61161</v>
      </c>
      <c r="F11" s="5">
        <f>+'Income Statement (Samba)'!E16</f>
        <v>135734</v>
      </c>
      <c r="G11" s="5">
        <f>+'Income Statement (Samba)'!F16</f>
        <v>167580</v>
      </c>
      <c r="H11" s="5">
        <f>+'Income Statement (Samba)'!G16</f>
        <v>312480</v>
      </c>
      <c r="I11" s="5">
        <f>+'Income Statement (Samba)'!H16</f>
        <v>467812.10700000002</v>
      </c>
      <c r="J11" s="5">
        <f>+'Income Statement (Samba)'!I16</f>
        <v>700200.49679999996</v>
      </c>
      <c r="K11" s="5">
        <f>+'Income Statement (Samba)'!J16</f>
        <v>971236.90502999979</v>
      </c>
      <c r="L11" s="5">
        <f>+'Income Statement (Samba)'!K16</f>
        <v>1249218.4057289998</v>
      </c>
      <c r="M11" s="5">
        <f>+'Income Statement (Samba)'!L16</f>
        <v>1553089.317178875</v>
      </c>
      <c r="N11" s="5">
        <f>+'Income Statement (Samba)'!M16</f>
        <v>1847054.1340487245</v>
      </c>
      <c r="O11" s="5">
        <f>+'Income Statement (Samba)'!N16</f>
        <v>2104693.7043615524</v>
      </c>
      <c r="P11" s="5"/>
      <c r="Q11" s="5">
        <f>+'Income Statement (Samba)'!P16</f>
        <v>0</v>
      </c>
      <c r="R11" s="5">
        <f>+'Income Statement (Samba)'!Q16</f>
        <v>0</v>
      </c>
      <c r="S11" s="5">
        <f>+'Income Statement (Samba)'!R16</f>
        <v>0</v>
      </c>
      <c r="T11" s="5">
        <f>+'Income Statement (Samba)'!S16</f>
        <v>0</v>
      </c>
      <c r="U11" s="5">
        <f>+'Income Statement (Samba)'!T16</f>
        <v>0</v>
      </c>
      <c r="V11" s="5">
        <f>+'Income Statement (Samba)'!U16</f>
        <v>0</v>
      </c>
      <c r="W11" s="5">
        <f>+'Income Statement (Samba)'!V16</f>
        <v>0</v>
      </c>
    </row>
    <row r="12" spans="2:23" x14ac:dyDescent="0.3">
      <c r="B12" s="6" t="s">
        <v>60</v>
      </c>
      <c r="C12" s="4"/>
      <c r="D12" s="5">
        <f>+'Income Statement (Samba)'!C13</f>
        <v>0</v>
      </c>
      <c r="E12" s="5">
        <f>+'Income Statement (Samba)'!D13</f>
        <v>0</v>
      </c>
      <c r="F12" s="5">
        <f>+'Income Statement (Samba)'!E13</f>
        <v>0</v>
      </c>
      <c r="G12" s="5">
        <f>+'Income Statement (Samba)'!F13</f>
        <v>0</v>
      </c>
      <c r="H12" s="5">
        <f>+'Income Statement (Samba)'!G13</f>
        <v>0</v>
      </c>
      <c r="I12" s="5">
        <f>+'Income Statement (Samba)'!H13</f>
        <v>0</v>
      </c>
      <c r="J12" s="5">
        <f>+'Income Statement (Samba)'!I13</f>
        <v>0</v>
      </c>
      <c r="K12" s="5">
        <f>+'Income Statement (Samba)'!J13</f>
        <v>0</v>
      </c>
      <c r="L12" s="5">
        <f>+'Income Statement (Samba)'!K13</f>
        <v>0</v>
      </c>
      <c r="M12" s="5">
        <f>+'Income Statement (Samba)'!L13</f>
        <v>0</v>
      </c>
      <c r="N12" s="5">
        <f>+'Income Statement (Samba)'!M13</f>
        <v>0</v>
      </c>
      <c r="O12" s="5">
        <f>+'Income Statement (Samba)'!N13</f>
        <v>0</v>
      </c>
      <c r="P12" s="5">
        <f>+'Income Statement (Samba)'!O13</f>
        <v>0</v>
      </c>
      <c r="Q12" s="5">
        <f>+'Income Statement (Samba)'!P13</f>
        <v>0</v>
      </c>
      <c r="R12" s="5">
        <f>+'Income Statement (Samba)'!Q13</f>
        <v>0</v>
      </c>
      <c r="S12" s="5">
        <f>+'Income Statement (Samba)'!R13</f>
        <v>0</v>
      </c>
      <c r="T12" s="5">
        <f>+'Income Statement (Samba)'!S13</f>
        <v>0</v>
      </c>
      <c r="U12" s="5">
        <f>+'Income Statement (Samba)'!T13</f>
        <v>0</v>
      </c>
      <c r="V12" s="5">
        <f>+'Income Statement (Samba)'!U13</f>
        <v>0</v>
      </c>
      <c r="W12" s="5">
        <f>+'Income Statement (Samba)'!V13</f>
        <v>0</v>
      </c>
    </row>
    <row r="13" spans="2:23" ht="4.4000000000000004" customHeight="1" x14ac:dyDescent="0.3">
      <c r="B13" s="6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2:23" s="23" customFormat="1" ht="13.5" thickBot="1" x14ac:dyDescent="0.35">
      <c r="B14" s="8" t="s">
        <v>61</v>
      </c>
      <c r="C14" s="8"/>
      <c r="D14" s="9">
        <f>+D9-D12-D11</f>
        <v>107088</v>
      </c>
      <c r="E14" s="9">
        <f t="shared" ref="E14:W14" si="3">+E9-E12-E11</f>
        <v>307376</v>
      </c>
      <c r="F14" s="9">
        <f t="shared" si="3"/>
        <v>551142</v>
      </c>
      <c r="G14" s="9">
        <f t="shared" si="3"/>
        <v>962147.31506849313</v>
      </c>
      <c r="H14" s="9">
        <f t="shared" si="3"/>
        <v>1522761.0273972601</v>
      </c>
      <c r="I14" s="9">
        <f t="shared" si="3"/>
        <v>2274415.1575342468</v>
      </c>
      <c r="J14" s="9">
        <f t="shared" si="3"/>
        <v>3360921.7429999998</v>
      </c>
      <c r="K14" s="9">
        <f t="shared" si="3"/>
        <v>4613607.7981999991</v>
      </c>
      <c r="L14" s="9">
        <f t="shared" si="3"/>
        <v>5923423.2634699997</v>
      </c>
      <c r="M14" s="9">
        <f t="shared" si="3"/>
        <v>7312595.7095209993</v>
      </c>
      <c r="N14" s="9">
        <f t="shared" si="3"/>
        <v>8647049.9549461249</v>
      </c>
      <c r="O14" s="9">
        <f t="shared" si="3"/>
        <v>9790829.5164887756</v>
      </c>
      <c r="P14" s="9">
        <f t="shared" si="3"/>
        <v>0</v>
      </c>
      <c r="Q14" s="9">
        <f t="shared" si="3"/>
        <v>0</v>
      </c>
      <c r="R14" s="9">
        <f t="shared" si="3"/>
        <v>0</v>
      </c>
      <c r="S14" s="9">
        <f t="shared" si="3"/>
        <v>0</v>
      </c>
      <c r="T14" s="9">
        <f t="shared" si="3"/>
        <v>0</v>
      </c>
      <c r="U14" s="9">
        <f t="shared" si="3"/>
        <v>0</v>
      </c>
      <c r="V14" s="9">
        <f t="shared" si="3"/>
        <v>0</v>
      </c>
      <c r="W14" s="9">
        <f t="shared" si="3"/>
        <v>0</v>
      </c>
    </row>
    <row r="15" spans="2:23" ht="3" customHeight="1" thickTop="1" x14ac:dyDescent="0.3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2:23" x14ac:dyDescent="0.3">
      <c r="B16" s="6" t="s">
        <v>62</v>
      </c>
      <c r="C16" s="4"/>
      <c r="D16" s="5">
        <f>+'Balance (Samba)'!C25</f>
        <v>190000</v>
      </c>
      <c r="E16" s="5">
        <f>-'Balance (Samba)'!C25+'Balance (Samba)'!D25</f>
        <v>-43065</v>
      </c>
      <c r="F16" s="5">
        <f>-'Balance (Samba)'!D25+'Balance (Samba)'!E25</f>
        <v>-137455</v>
      </c>
      <c r="G16" s="5">
        <f>-'Balance (Samba)'!E25+'Balance (Samba)'!F25</f>
        <v>-9480</v>
      </c>
      <c r="H16" s="5">
        <f>-'Balance (Samba)'!F25+'Balance (Samba)'!G25</f>
        <v>0</v>
      </c>
      <c r="I16" s="5">
        <f>-'Balance (Samba)'!G25+'Balance (Samba)'!H25</f>
        <v>0</v>
      </c>
      <c r="J16" s="5">
        <f>-'Balance (Samba)'!H25+'Balance (Samba)'!I25</f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f>+'[1]Demonstração de Resultados'!R39-'[1]Demonstração de Resultados'!Q39+'[1]Demonstração de Resultados'!R54-'[1]Demonstração de Resultados'!Q54</f>
        <v>0</v>
      </c>
      <c r="T16" s="5">
        <f>+'[1]Demonstração de Resultados'!S39-'[1]Demonstração de Resultados'!R39+'[1]Demonstração de Resultados'!S54-'[1]Demonstração de Resultados'!R54</f>
        <v>0</v>
      </c>
      <c r="U16" s="5">
        <f>+'[1]Demonstração de Resultados'!T39-'[1]Demonstração de Resultados'!S39+'[1]Demonstração de Resultados'!T54-'[1]Demonstração de Resultados'!S54</f>
        <v>0</v>
      </c>
      <c r="V16" s="5">
        <f>+'[1]Demonstração de Resultados'!U39-'[1]Demonstração de Resultados'!T39+'[1]Demonstração de Resultados'!U54-'[1]Demonstração de Resultados'!T54</f>
        <v>0</v>
      </c>
      <c r="W16" s="5">
        <f>+'[1]Demonstração de Resultados'!V39-'[1]Demonstração de Resultados'!U39+'[1]Demonstração de Resultados'!V54-'[1]Demonstração de Resultados'!U54</f>
        <v>0</v>
      </c>
    </row>
    <row r="17" spans="2:23 16384:16384" x14ac:dyDescent="0.3">
      <c r="B17" s="6" t="s">
        <v>63</v>
      </c>
      <c r="C17" s="4"/>
      <c r="D17" s="5">
        <f>+'Balance (Samba)'!C16+'Balance (Samba)'!C17+'Balance (Samba)'!C18</f>
        <v>112954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2:23 16384:16384" ht="4.4000000000000004" customHeight="1" x14ac:dyDescent="0.3">
      <c r="B18" s="6"/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2:23 16384:16384" s="23" customFormat="1" ht="13.5" thickBot="1" x14ac:dyDescent="0.35">
      <c r="B19" s="8" t="s">
        <v>64</v>
      </c>
      <c r="C19" s="8"/>
      <c r="D19" s="9">
        <f>+D14+D16+D17</f>
        <v>410042</v>
      </c>
      <c r="E19" s="9">
        <f t="shared" ref="E19:W19" si="4">+E14+E16+E17</f>
        <v>264311</v>
      </c>
      <c r="F19" s="9">
        <f t="shared" si="4"/>
        <v>413687</v>
      </c>
      <c r="G19" s="9">
        <f t="shared" si="4"/>
        <v>952667.31506849313</v>
      </c>
      <c r="H19" s="9">
        <f t="shared" si="4"/>
        <v>1522761.0273972601</v>
      </c>
      <c r="I19" s="9">
        <f t="shared" si="4"/>
        <v>2274415.1575342468</v>
      </c>
      <c r="J19" s="9">
        <f t="shared" si="4"/>
        <v>3360921.7429999998</v>
      </c>
      <c r="K19" s="9">
        <f t="shared" si="4"/>
        <v>4613607.7981999991</v>
      </c>
      <c r="L19" s="9">
        <f t="shared" si="4"/>
        <v>5923423.2634699997</v>
      </c>
      <c r="M19" s="9">
        <f t="shared" si="4"/>
        <v>7312595.7095209993</v>
      </c>
      <c r="N19" s="9">
        <f t="shared" si="4"/>
        <v>8647049.9549461249</v>
      </c>
      <c r="O19" s="9">
        <f t="shared" si="4"/>
        <v>9790829.5164887756</v>
      </c>
      <c r="P19" s="9">
        <f t="shared" si="4"/>
        <v>0</v>
      </c>
      <c r="Q19" s="9">
        <f t="shared" si="4"/>
        <v>0</v>
      </c>
      <c r="R19" s="9">
        <f t="shared" si="4"/>
        <v>0</v>
      </c>
      <c r="S19" s="9">
        <f t="shared" si="4"/>
        <v>0</v>
      </c>
      <c r="T19" s="9">
        <f t="shared" si="4"/>
        <v>0</v>
      </c>
      <c r="U19" s="9">
        <f t="shared" si="4"/>
        <v>0</v>
      </c>
      <c r="V19" s="9">
        <f t="shared" si="4"/>
        <v>0</v>
      </c>
      <c r="W19" s="9">
        <f t="shared" si="4"/>
        <v>0</v>
      </c>
    </row>
    <row r="20" spans="2:23 16384:16384" s="23" customFormat="1" ht="3" customHeight="1" thickTop="1" x14ac:dyDescent="0.3"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</row>
    <row r="21" spans="2:23 16384:16384" x14ac:dyDescent="0.3">
      <c r="B21" s="6" t="s">
        <v>65</v>
      </c>
      <c r="C21" s="4"/>
      <c r="D21" s="5">
        <f>+'Balance (Samba)'!C6-'Cash-Flow (Samba)'!C21</f>
        <v>221559</v>
      </c>
      <c r="E21" s="5">
        <f>+'Balance (Samba)'!D4-'Balance (Samba)'!C4</f>
        <v>-53286</v>
      </c>
      <c r="F21" s="5">
        <f>+'Balance (Samba)'!E4-'Balance (Samba)'!D4</f>
        <v>-8595</v>
      </c>
      <c r="G21" s="5">
        <f>+'Balance (Samba)'!F4-'Balance (Samba)'!E4</f>
        <v>260000</v>
      </c>
      <c r="H21" s="5">
        <f>+'Balance (Samba)'!G4-'Balance (Samba)'!F4</f>
        <v>260000</v>
      </c>
      <c r="I21" s="5">
        <f>+'Balance (Samba)'!H4-'Balance (Samba)'!G4</f>
        <v>459900</v>
      </c>
      <c r="J21" s="5">
        <f>+'Balance (Samba)'!I4-'Balance (Samba)'!H4</f>
        <v>643860</v>
      </c>
      <c r="K21" s="5">
        <f>+'Balance (Samba)'!J4-'Balance (Samba)'!I4</f>
        <v>869211</v>
      </c>
      <c r="L21" s="5">
        <f>+'Balance (Samba)'!K4-'Balance (Samba)'!J4</f>
        <v>1129974.2999999998</v>
      </c>
      <c r="M21" s="5">
        <f>+'Balance (Samba)'!L4-'Balance (Samba)'!K4</f>
        <v>1412467.875</v>
      </c>
      <c r="N21" s="5">
        <f>+'Balance (Samba)'!M4-'Balance (Samba)'!L4</f>
        <v>1694961.4500000002</v>
      </c>
      <c r="O21" s="5">
        <f>+'Balance (Samba)'!N4-'Balance (Samba)'!M4</f>
        <v>1949205.6675000004</v>
      </c>
      <c r="P21" s="5"/>
      <c r="Q21" s="5">
        <f>+'Balance (Samba)'!P4-'Balance (Samba)'!O4</f>
        <v>0</v>
      </c>
      <c r="R21" s="5"/>
      <c r="S21" s="5"/>
      <c r="T21" s="5"/>
      <c r="U21" s="5"/>
      <c r="V21" s="5"/>
      <c r="W21" s="5"/>
      <c r="XFD21" s="5"/>
    </row>
    <row r="22" spans="2:23 16384:16384" x14ac:dyDescent="0.3">
      <c r="B22" s="6" t="s">
        <v>66</v>
      </c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2:23 16384:16384" x14ac:dyDescent="0.3">
      <c r="B23" s="6" t="s">
        <v>67</v>
      </c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2:23 16384:16384" ht="3" customHeight="1" x14ac:dyDescent="0.3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2:23 16384:16384" ht="13.5" thickBot="1" x14ac:dyDescent="0.35">
      <c r="B25" s="8" t="s">
        <v>68</v>
      </c>
      <c r="C25" s="8"/>
      <c r="D25" s="9">
        <f>+D19-D21</f>
        <v>188483</v>
      </c>
      <c r="E25" s="9">
        <f t="shared" ref="E25:W25" si="5">+E19-E21</f>
        <v>317597</v>
      </c>
      <c r="F25" s="9">
        <f>+F19-F21-F23</f>
        <v>422282</v>
      </c>
      <c r="G25" s="9">
        <f t="shared" ref="G25:O25" si="6">+G19-G21-G23</f>
        <v>692667.31506849313</v>
      </c>
      <c r="H25" s="9">
        <f t="shared" si="6"/>
        <v>1262761.0273972601</v>
      </c>
      <c r="I25" s="9">
        <f t="shared" si="6"/>
        <v>1814515.1575342468</v>
      </c>
      <c r="J25" s="9">
        <f t="shared" si="6"/>
        <v>2717061.7429999998</v>
      </c>
      <c r="K25" s="9">
        <f t="shared" si="6"/>
        <v>3744396.7981999991</v>
      </c>
      <c r="L25" s="9">
        <f t="shared" si="6"/>
        <v>4793448.9634699998</v>
      </c>
      <c r="M25" s="9">
        <f t="shared" si="6"/>
        <v>5900127.8345209993</v>
      </c>
      <c r="N25" s="9">
        <f t="shared" si="6"/>
        <v>6952088.5049461247</v>
      </c>
      <c r="O25" s="9">
        <f t="shared" si="6"/>
        <v>7841623.8489887752</v>
      </c>
      <c r="P25" s="9">
        <f t="shared" si="5"/>
        <v>0</v>
      </c>
      <c r="Q25" s="9">
        <f t="shared" si="5"/>
        <v>0</v>
      </c>
      <c r="R25" s="9">
        <f t="shared" si="5"/>
        <v>0</v>
      </c>
      <c r="S25" s="9">
        <f t="shared" si="5"/>
        <v>0</v>
      </c>
      <c r="T25" s="9">
        <f t="shared" si="5"/>
        <v>0</v>
      </c>
      <c r="U25" s="9">
        <f t="shared" si="5"/>
        <v>0</v>
      </c>
      <c r="V25" s="9">
        <f t="shared" si="5"/>
        <v>0</v>
      </c>
      <c r="W25" s="9">
        <f t="shared" si="5"/>
        <v>0</v>
      </c>
    </row>
    <row r="26" spans="2:23 16384:16384" ht="13.5" thickTop="1" x14ac:dyDescent="0.3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2:23 16384:16384" ht="26.15" customHeight="1" x14ac:dyDescent="0.3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2:23 16384:16384" x14ac:dyDescent="0.3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2:23 16384:16384" x14ac:dyDescent="0.3">
      <c r="B29" s="1" t="s">
        <v>69</v>
      </c>
      <c r="D29" s="7">
        <f>+SUM('Balance (Samba)'!C7:C10)-SUM('Balance (Samba)'!C28:C32)</f>
        <v>-88652</v>
      </c>
      <c r="E29" s="7">
        <f>+SUM('Balance (Samba)'!D7:D10)-SUM('Balance (Samba)'!D28:D32)</f>
        <v>-166111</v>
      </c>
      <c r="F29" s="7">
        <f>+SUM('Balance (Samba)'!E7:E10)-SUM('Balance (Samba)'!E28:E32)</f>
        <v>-206734</v>
      </c>
      <c r="G29" s="7">
        <f>+SUM('Balance (Samba)'!F7:F10)-SUM('Balance (Samba)'!F28:F32)</f>
        <v>-496461.31506849325</v>
      </c>
      <c r="H29" s="7">
        <f>+SUM('Balance (Samba)'!G7:G10)-SUM('Balance (Samba)'!G28:G32)</f>
        <v>-756702.34246575343</v>
      </c>
      <c r="I29" s="7">
        <f>+SUM('Balance (Samba)'!H7:H10)-SUM('Balance (Samba)'!H28:H32)</f>
        <v>-1107449.6070000001</v>
      </c>
      <c r="J29" s="7">
        <f>+SUM('Balance (Samba)'!I7:I10)-SUM('Balance (Samba)'!I28:I32)</f>
        <v>-1562955.8467999999</v>
      </c>
      <c r="K29" s="7">
        <f>+SUM('Balance (Samba)'!J7:J10)-SUM('Balance (Samba)'!J28:J32)</f>
        <v>-2106376.7500300002</v>
      </c>
      <c r="L29" s="7">
        <f>+SUM('Balance (Samba)'!K7:K10)-SUM('Balance (Samba)'!K28:K32)</f>
        <v>-2725167.4792290004</v>
      </c>
      <c r="M29" s="7">
        <f>+SUM('Balance (Samba)'!L7:L10)-SUM('Balance (Samba)'!L28:L32)</f>
        <v>-3398538.8309288751</v>
      </c>
      <c r="N29" s="7">
        <f>+SUM('Balance (Samba)'!M7:M10)-SUM('Balance (Samba)'!M28:M32)</f>
        <v>-4061866.5099237254</v>
      </c>
      <c r="O29" s="7">
        <f>+SUM('Balance (Samba)'!N7:N10)-SUM('Balance (Samba)'!N28:N32)</f>
        <v>-4651996.859274053</v>
      </c>
      <c r="P29" s="7">
        <f>+SUM('Balance (Samba)'!O7:O10)-SUM('Balance (Samba)'!O28:O32)</f>
        <v>0</v>
      </c>
      <c r="Q29" s="7">
        <f>+SUM('Balance (Samba)'!P7:P10)-SUM('Balance (Samba)'!P28:P32)</f>
        <v>0</v>
      </c>
      <c r="R29" s="7">
        <f>+SUM('Balance (Samba)'!Q7:Q10)-SUM('Balance (Samba)'!Q28:Q32)</f>
        <v>0</v>
      </c>
      <c r="S29" s="7">
        <f>+SUM('Balance (Samba)'!R7:R10)-SUM('Balance (Samba)'!R28:R32)</f>
        <v>0</v>
      </c>
      <c r="T29" s="7">
        <f>+SUM('Balance (Samba)'!S7:S10)-SUM('Balance (Samba)'!S28:S32)</f>
        <v>0</v>
      </c>
      <c r="U29" s="7">
        <f>+SUM('Balance (Samba)'!T7:T10)-SUM('Balance (Samba)'!T28:T32)</f>
        <v>0</v>
      </c>
      <c r="V29" s="7">
        <f>+SUM('Balance (Samba)'!U7:U10)-SUM('Balance (Samba)'!U28:U32)</f>
        <v>0</v>
      </c>
      <c r="W29" s="7">
        <f>+SUM('Balance (Samba)'!V7:V10)-SUM('Balance (Samba)'!V28:V32)</f>
        <v>0</v>
      </c>
    </row>
    <row r="31" spans="2:23 16384:16384" ht="13.5" thickBot="1" x14ac:dyDescent="0.35">
      <c r="B31" s="8" t="s">
        <v>70</v>
      </c>
      <c r="C31" s="8"/>
      <c r="D31" s="9">
        <f>+D9-D11</f>
        <v>107088</v>
      </c>
      <c r="E31" s="9">
        <f t="shared" ref="E31:W31" si="7">+E9-E11</f>
        <v>307376</v>
      </c>
      <c r="F31" s="9">
        <f>+F9-F11-F23</f>
        <v>551142</v>
      </c>
      <c r="G31" s="9">
        <f t="shared" ref="G31:O31" si="8">+G9-G11-G23</f>
        <v>962147.31506849313</v>
      </c>
      <c r="H31" s="9">
        <f t="shared" si="8"/>
        <v>1522761.0273972601</v>
      </c>
      <c r="I31" s="9">
        <f t="shared" si="8"/>
        <v>2274415.1575342468</v>
      </c>
      <c r="J31" s="9">
        <f t="shared" si="8"/>
        <v>3360921.7429999998</v>
      </c>
      <c r="K31" s="9">
        <f t="shared" si="8"/>
        <v>4613607.7981999991</v>
      </c>
      <c r="L31" s="9">
        <f t="shared" si="8"/>
        <v>5923423.2634699997</v>
      </c>
      <c r="M31" s="9">
        <f t="shared" si="8"/>
        <v>7312595.7095209993</v>
      </c>
      <c r="N31" s="9">
        <f t="shared" si="8"/>
        <v>8647049.9549461249</v>
      </c>
      <c r="O31" s="9">
        <f t="shared" si="8"/>
        <v>9790829.5164887756</v>
      </c>
      <c r="P31" s="9">
        <f t="shared" si="7"/>
        <v>0</v>
      </c>
      <c r="Q31" s="9">
        <f t="shared" si="7"/>
        <v>0</v>
      </c>
      <c r="R31" s="9">
        <f t="shared" si="7"/>
        <v>0</v>
      </c>
      <c r="S31" s="9">
        <f t="shared" si="7"/>
        <v>0</v>
      </c>
      <c r="T31" s="9">
        <f t="shared" si="7"/>
        <v>0</v>
      </c>
      <c r="U31" s="9">
        <f t="shared" si="7"/>
        <v>0</v>
      </c>
      <c r="V31" s="9">
        <f t="shared" si="7"/>
        <v>0</v>
      </c>
      <c r="W31" s="9">
        <f t="shared" si="7"/>
        <v>0</v>
      </c>
    </row>
    <row r="32" spans="2:23 16384:16384" ht="13.5" thickTop="1" x14ac:dyDescent="0.3"/>
    <row r="35" spans="2:23" x14ac:dyDescent="0.3">
      <c r="B35" s="26" t="s">
        <v>71</v>
      </c>
      <c r="C35" s="26"/>
      <c r="D35" s="27">
        <f>+D68</f>
        <v>6.1981999999999995E-2</v>
      </c>
      <c r="F35" s="7"/>
    </row>
    <row r="37" spans="2:23" x14ac:dyDescent="0.3">
      <c r="B37" s="6" t="s">
        <v>72</v>
      </c>
      <c r="C37" s="4">
        <v>0</v>
      </c>
      <c r="D37" s="4">
        <v>1</v>
      </c>
      <c r="E37" s="4">
        <v>2</v>
      </c>
      <c r="F37" s="4">
        <v>3</v>
      </c>
      <c r="G37" s="4">
        <v>4</v>
      </c>
      <c r="H37" s="4">
        <v>5</v>
      </c>
      <c r="I37" s="4">
        <v>6</v>
      </c>
      <c r="J37" s="4">
        <v>7</v>
      </c>
      <c r="K37" s="4">
        <v>8</v>
      </c>
      <c r="L37" s="4">
        <v>9</v>
      </c>
      <c r="M37" s="4">
        <v>10</v>
      </c>
      <c r="N37" s="4">
        <v>11</v>
      </c>
      <c r="O37" s="4">
        <v>12</v>
      </c>
      <c r="P37" s="4">
        <v>13</v>
      </c>
      <c r="Q37" s="4">
        <v>14</v>
      </c>
      <c r="R37" s="4">
        <v>15</v>
      </c>
      <c r="S37" s="4">
        <v>16</v>
      </c>
      <c r="T37" s="4">
        <v>17</v>
      </c>
      <c r="U37" s="4">
        <v>18</v>
      </c>
      <c r="V37" s="4">
        <v>19</v>
      </c>
      <c r="W37" s="4">
        <v>20</v>
      </c>
    </row>
    <row r="38" spans="2:23" x14ac:dyDescent="0.3">
      <c r="B38" s="6" t="s">
        <v>73</v>
      </c>
      <c r="C38" s="4">
        <f>1/(1+$D$35)^C37</f>
        <v>1</v>
      </c>
      <c r="D38" s="28">
        <f>1/(1+$D$35)^D37</f>
        <v>0.94163554561188423</v>
      </c>
      <c r="E38" s="28">
        <f t="shared" ref="E38:W38" si="9">1/(1+$D$35)^E37</f>
        <v>0.8866775007597909</v>
      </c>
      <c r="F38" s="28">
        <f t="shared" si="9"/>
        <v>0.83492705220972752</v>
      </c>
      <c r="G38" s="28">
        <f t="shared" si="9"/>
        <v>0.786196990353629</v>
      </c>
      <c r="H38" s="28">
        <f t="shared" si="9"/>
        <v>0.74031103197006076</v>
      </c>
      <c r="I38" s="28">
        <f t="shared" si="9"/>
        <v>0.69710318251162517</v>
      </c>
      <c r="J38" s="28">
        <f t="shared" si="9"/>
        <v>0.65641713561211501</v>
      </c>
      <c r="K38" s="28">
        <f t="shared" si="9"/>
        <v>0.61810570764110417</v>
      </c>
      <c r="L38" s="28">
        <f t="shared" si="9"/>
        <v>0.58203030526045096</v>
      </c>
      <c r="M38" s="28">
        <f t="shared" si="9"/>
        <v>0.54806042405657629</v>
      </c>
      <c r="N38" s="28">
        <f t="shared" si="9"/>
        <v>0.51607317643479478</v>
      </c>
      <c r="O38" s="28">
        <f t="shared" si="9"/>
        <v>0.48595284706783615</v>
      </c>
      <c r="P38" s="28">
        <f t="shared" si="9"/>
        <v>0.45759047429037047</v>
      </c>
      <c r="Q38" s="28">
        <f t="shared" si="9"/>
        <v>0.43088345592521388</v>
      </c>
      <c r="R38" s="28">
        <f t="shared" si="9"/>
        <v>0.40573517811527304</v>
      </c>
      <c r="S38" s="28">
        <f t="shared" si="9"/>
        <v>0.38205466581851016</v>
      </c>
      <c r="T38" s="28">
        <f t="shared" si="9"/>
        <v>0.35975625370157888</v>
      </c>
      <c r="U38" s="28">
        <f t="shared" si="9"/>
        <v>0.3387592762415737</v>
      </c>
      <c r="V38" s="28">
        <f t="shared" si="9"/>
        <v>0.31898777591482119</v>
      </c>
      <c r="W38" s="28">
        <f t="shared" si="9"/>
        <v>0.30037022841707417</v>
      </c>
    </row>
    <row r="40" spans="2:23" x14ac:dyDescent="0.3">
      <c r="B40" s="17" t="s">
        <v>74</v>
      </c>
      <c r="C40" s="18"/>
      <c r="D40" s="18"/>
      <c r="E40" s="18"/>
      <c r="F40" s="18">
        <f>+F31*F38</f>
        <v>460163.36540897365</v>
      </c>
      <c r="G40" s="18">
        <f t="shared" ref="G40:W40" si="10">+G31*G38</f>
        <v>756437.32338367414</v>
      </c>
      <c r="H40" s="18">
        <f t="shared" si="10"/>
        <v>1127316.7876362556</v>
      </c>
      <c r="I40" s="18">
        <f t="shared" si="10"/>
        <v>1585502.0446698028</v>
      </c>
      <c r="J40" s="18">
        <f t="shared" si="10"/>
        <v>2206166.6235565366</v>
      </c>
      <c r="K40" s="18">
        <f t="shared" si="10"/>
        <v>2851697.3128849268</v>
      </c>
      <c r="L40" s="18">
        <f t="shared" si="10"/>
        <v>3447611.8502243008</v>
      </c>
      <c r="M40" s="18">
        <f t="shared" si="10"/>
        <v>4007744.3055143794</v>
      </c>
      <c r="N40" s="18">
        <f t="shared" si="10"/>
        <v>4462510.5370393954</v>
      </c>
      <c r="O40" s="18">
        <f t="shared" si="10"/>
        <v>4757881.4786935262</v>
      </c>
      <c r="P40" s="18">
        <f t="shared" si="10"/>
        <v>0</v>
      </c>
      <c r="Q40" s="18">
        <f t="shared" si="10"/>
        <v>0</v>
      </c>
      <c r="R40" s="18">
        <f t="shared" si="10"/>
        <v>0</v>
      </c>
      <c r="S40" s="18">
        <f t="shared" si="10"/>
        <v>0</v>
      </c>
      <c r="T40" s="18">
        <f t="shared" si="10"/>
        <v>0</v>
      </c>
      <c r="U40" s="18">
        <f t="shared" si="10"/>
        <v>0</v>
      </c>
      <c r="V40" s="18">
        <f t="shared" si="10"/>
        <v>0</v>
      </c>
      <c r="W40" s="18">
        <f t="shared" si="10"/>
        <v>0</v>
      </c>
    </row>
    <row r="41" spans="2:23" x14ac:dyDescent="0.3">
      <c r="B41" s="20" t="s">
        <v>75</v>
      </c>
      <c r="C41" s="21">
        <f>SUM(F40:O40)</f>
        <v>25663031.629011773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2:23" x14ac:dyDescent="0.3">
      <c r="B42" s="20" t="s">
        <v>76</v>
      </c>
      <c r="C42" s="29" t="e">
        <f>IRR(D31:O31)</f>
        <v>#NUM!</v>
      </c>
    </row>
    <row r="44" spans="2:23" x14ac:dyDescent="0.3">
      <c r="D44" s="7"/>
      <c r="F44" s="7"/>
    </row>
    <row r="45" spans="2:23" ht="13.5" thickBot="1" x14ac:dyDescent="0.35"/>
    <row r="46" spans="2:23" ht="13.5" thickBot="1" x14ac:dyDescent="0.35">
      <c r="C46" s="30" t="s">
        <v>77</v>
      </c>
      <c r="D46" s="31"/>
    </row>
    <row r="47" spans="2:23" x14ac:dyDescent="0.3">
      <c r="C47" s="32" t="s">
        <v>78</v>
      </c>
      <c r="D47" s="33">
        <v>1.6670000000000001E-2</v>
      </c>
    </row>
    <row r="48" spans="2:23" x14ac:dyDescent="0.3">
      <c r="C48" s="32" t="s">
        <v>79</v>
      </c>
      <c r="D48" s="33">
        <v>0</v>
      </c>
    </row>
    <row r="49" spans="3:6" x14ac:dyDescent="0.3">
      <c r="C49" s="32" t="s">
        <v>80</v>
      </c>
      <c r="D49" s="33">
        <v>4.7199999999999999E-2</v>
      </c>
    </row>
    <row r="50" spans="3:6" x14ac:dyDescent="0.3">
      <c r="C50" s="32" t="s">
        <v>81</v>
      </c>
      <c r="D50" s="34">
        <v>0.96</v>
      </c>
    </row>
    <row r="51" spans="3:6" ht="13.5" thickBot="1" x14ac:dyDescent="0.35">
      <c r="C51" s="32" t="s">
        <v>82</v>
      </c>
      <c r="D51" s="33">
        <f>D50*(1+(D63/D62)*(1-D64))</f>
        <v>0.96</v>
      </c>
      <c r="F51" s="22"/>
    </row>
    <row r="52" spans="3:6" ht="13.5" thickBot="1" x14ac:dyDescent="0.35">
      <c r="C52" s="35" t="s">
        <v>83</v>
      </c>
      <c r="D52" s="36">
        <f>+D47+D51*D49</f>
        <v>6.1981999999999995E-2</v>
      </c>
    </row>
    <row r="53" spans="3:6" ht="13.5" thickBot="1" x14ac:dyDescent="0.35">
      <c r="C53" s="37"/>
      <c r="D53" s="38"/>
    </row>
    <row r="54" spans="3:6" ht="13.5" thickBot="1" x14ac:dyDescent="0.35">
      <c r="C54" s="39" t="s">
        <v>84</v>
      </c>
      <c r="D54" s="40"/>
    </row>
    <row r="55" spans="3:6" x14ac:dyDescent="0.3">
      <c r="C55" s="32" t="s">
        <v>85</v>
      </c>
      <c r="D55" s="33">
        <v>2.0100000000000001E-3</v>
      </c>
    </row>
    <row r="56" spans="3:6" ht="13.5" thickBot="1" x14ac:dyDescent="0.35">
      <c r="C56" s="32" t="s">
        <v>86</v>
      </c>
      <c r="D56" s="33">
        <v>0.03</v>
      </c>
    </row>
    <row r="57" spans="3:6" ht="13.5" thickBot="1" x14ac:dyDescent="0.35">
      <c r="C57" s="35" t="s">
        <v>87</v>
      </c>
      <c r="D57" s="36">
        <f>D47+D56</f>
        <v>4.6670000000000003E-2</v>
      </c>
    </row>
    <row r="58" spans="3:6" ht="13.5" thickBot="1" x14ac:dyDescent="0.35">
      <c r="C58" s="37"/>
      <c r="D58" s="38"/>
    </row>
    <row r="59" spans="3:6" ht="13.5" thickBot="1" x14ac:dyDescent="0.35">
      <c r="C59" s="39" t="s">
        <v>88</v>
      </c>
      <c r="D59" s="40"/>
    </row>
    <row r="60" spans="3:6" x14ac:dyDescent="0.3">
      <c r="C60" s="32" t="s">
        <v>77</v>
      </c>
      <c r="D60" s="33">
        <f>D52</f>
        <v>6.1981999999999995E-2</v>
      </c>
    </row>
    <row r="61" spans="3:6" x14ac:dyDescent="0.3">
      <c r="C61" s="32" t="s">
        <v>84</v>
      </c>
      <c r="D61" s="33">
        <f>D57</f>
        <v>4.6670000000000003E-2</v>
      </c>
    </row>
    <row r="62" spans="3:6" x14ac:dyDescent="0.3">
      <c r="C62" s="32" t="s">
        <v>89</v>
      </c>
      <c r="D62" s="41">
        <f>+'Cash-Flow (Samba)'!D17+D16</f>
        <v>302954</v>
      </c>
    </row>
    <row r="63" spans="3:6" x14ac:dyDescent="0.3">
      <c r="C63" s="32" t="s">
        <v>90</v>
      </c>
      <c r="D63" s="41">
        <v>0</v>
      </c>
    </row>
    <row r="64" spans="3:6" x14ac:dyDescent="0.3">
      <c r="C64" s="32" t="s">
        <v>91</v>
      </c>
      <c r="D64" s="33">
        <v>0.21</v>
      </c>
    </row>
    <row r="65" spans="2:5" x14ac:dyDescent="0.3">
      <c r="C65" s="42"/>
      <c r="D65" s="43"/>
    </row>
    <row r="66" spans="2:5" x14ac:dyDescent="0.3">
      <c r="C66" s="32" t="s">
        <v>92</v>
      </c>
      <c r="D66" s="33">
        <f>+D52</f>
        <v>6.1981999999999995E-2</v>
      </c>
    </row>
    <row r="67" spans="2:5" ht="13.5" thickBot="1" x14ac:dyDescent="0.35">
      <c r="C67" s="44" t="s">
        <v>93</v>
      </c>
      <c r="D67" s="45">
        <f>D57</f>
        <v>4.6670000000000003E-2</v>
      </c>
    </row>
    <row r="68" spans="2:5" ht="13.5" thickBot="1" x14ac:dyDescent="0.35">
      <c r="C68" s="46" t="s">
        <v>71</v>
      </c>
      <c r="D68" s="36">
        <f>+D62/(D62+D63)*D60+D63/(D62+D63)*D61*(1-D64)</f>
        <v>6.1981999999999995E-2</v>
      </c>
    </row>
    <row r="70" spans="2:5" x14ac:dyDescent="0.3">
      <c r="C70" s="1" t="s">
        <v>94</v>
      </c>
    </row>
    <row r="72" spans="2:5" x14ac:dyDescent="0.3">
      <c r="C72" s="47" t="s">
        <v>95</v>
      </c>
      <c r="D72" s="47">
        <v>2021</v>
      </c>
    </row>
    <row r="73" spans="2:5" x14ac:dyDescent="0.3">
      <c r="B73" s="47" t="s">
        <v>96</v>
      </c>
      <c r="C73" s="48">
        <v>25.09</v>
      </c>
      <c r="D73" s="49">
        <f>+'Income Statement (Samba)'!E9</f>
        <v>646253</v>
      </c>
      <c r="E73" s="50">
        <f>+C73*D73</f>
        <v>16214487.77</v>
      </c>
    </row>
    <row r="74" spans="2:5" x14ac:dyDescent="0.3">
      <c r="B74" s="47" t="s">
        <v>97</v>
      </c>
      <c r="C74" s="48">
        <v>38.04</v>
      </c>
      <c r="D74" s="49">
        <f>+F5</f>
        <v>646253</v>
      </c>
      <c r="E74" s="50">
        <f>+C74*D74</f>
        <v>24583464.120000001</v>
      </c>
    </row>
  </sheetData>
  <pageMargins left="0.75" right="0.75" top="1" bottom="1" header="0.5" footer="0.5"/>
  <pageSetup paperSize="9"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2A88E-7018-41C1-A103-799131E16BDD}">
  <dimension ref="C4:AD22"/>
  <sheetViews>
    <sheetView showGridLines="0" topLeftCell="D1" workbookViewId="0">
      <selection activeCell="C25" sqref="C25:N32"/>
    </sheetView>
  </sheetViews>
  <sheetFormatPr baseColWidth="10" defaultColWidth="11.08203125" defaultRowHeight="15.5" x14ac:dyDescent="0.35"/>
  <cols>
    <col min="4" max="4" width="14.58203125" bestFit="1" customWidth="1"/>
    <col min="5" max="11" width="16.08203125" bestFit="1" customWidth="1"/>
    <col min="12" max="12" width="16.5" bestFit="1" customWidth="1"/>
    <col min="13" max="13" width="16.08203125" bestFit="1" customWidth="1"/>
    <col min="14" max="14" width="17.5" bestFit="1" customWidth="1"/>
  </cols>
  <sheetData>
    <row r="4" spans="3:30" x14ac:dyDescent="0.35">
      <c r="D4" s="47" t="s">
        <v>98</v>
      </c>
      <c r="E4" s="51">
        <v>30000</v>
      </c>
      <c r="F4" s="51">
        <v>260000</v>
      </c>
      <c r="G4" s="51">
        <v>260000</v>
      </c>
      <c r="H4" s="51">
        <f>'Income Statement (Samba)'!H4*'Assumptions (Samba)'!I20</f>
        <v>459900</v>
      </c>
      <c r="I4" s="51">
        <f>'Income Statement (Samba)'!I4*'Assumptions (Samba)'!J20</f>
        <v>643860</v>
      </c>
      <c r="J4" s="51">
        <f>'Income Statement (Samba)'!J4*'Assumptions (Samba)'!K20</f>
        <v>869211</v>
      </c>
      <c r="K4" s="51">
        <f>'Income Statement (Samba)'!K4*'Assumptions (Samba)'!L20</f>
        <v>1129974.3</v>
      </c>
      <c r="L4" s="51">
        <f>'Income Statement (Samba)'!L4*'Assumptions (Samba)'!M20</f>
        <v>1412467.875</v>
      </c>
      <c r="M4" s="51">
        <f>'Income Statement (Samba)'!M4*'Assumptions (Samba)'!N20</f>
        <v>1694961.4500000002</v>
      </c>
      <c r="N4" s="51">
        <f>'Income Statement (Samba)'!N4*'Assumptions (Samba)'!O20</f>
        <v>1949205.6674999997</v>
      </c>
    </row>
    <row r="5" spans="3:30" x14ac:dyDescent="0.35">
      <c r="D5" s="47" t="s">
        <v>99</v>
      </c>
      <c r="E5" s="51">
        <v>159678</v>
      </c>
      <c r="F5" s="51">
        <f>+F4+E5</f>
        <v>419678</v>
      </c>
      <c r="G5" s="51">
        <f t="shared" ref="G5:N5" si="0">+G4+F5</f>
        <v>679678</v>
      </c>
      <c r="H5" s="51">
        <f t="shared" si="0"/>
        <v>1139578</v>
      </c>
      <c r="I5" s="51">
        <f t="shared" si="0"/>
        <v>1783438</v>
      </c>
      <c r="J5" s="51">
        <f t="shared" si="0"/>
        <v>2652649</v>
      </c>
      <c r="K5" s="51">
        <f t="shared" si="0"/>
        <v>3782623.3</v>
      </c>
      <c r="L5" s="51">
        <f t="shared" si="0"/>
        <v>5195091.1749999998</v>
      </c>
      <c r="M5" s="51">
        <f t="shared" si="0"/>
        <v>6890052.625</v>
      </c>
      <c r="N5" s="51">
        <f t="shared" si="0"/>
        <v>8839258.2925000004</v>
      </c>
    </row>
    <row r="7" spans="3:30" x14ac:dyDescent="0.35">
      <c r="C7" s="47"/>
      <c r="D7" s="47" t="s">
        <v>100</v>
      </c>
      <c r="E7" s="47">
        <v>2021</v>
      </c>
      <c r="F7" s="47">
        <f>+E7+1</f>
        <v>2022</v>
      </c>
      <c r="G7" s="47">
        <f t="shared" ref="G7:N7" si="1">+F7+1</f>
        <v>2023</v>
      </c>
      <c r="H7" s="47">
        <f t="shared" si="1"/>
        <v>2024</v>
      </c>
      <c r="I7" s="47">
        <f t="shared" si="1"/>
        <v>2025</v>
      </c>
      <c r="J7" s="47">
        <f t="shared" si="1"/>
        <v>2026</v>
      </c>
      <c r="K7" s="47">
        <f t="shared" si="1"/>
        <v>2027</v>
      </c>
      <c r="L7" s="47">
        <f t="shared" si="1"/>
        <v>2028</v>
      </c>
      <c r="M7" s="47">
        <f t="shared" si="1"/>
        <v>2029</v>
      </c>
      <c r="N7" s="47">
        <f t="shared" si="1"/>
        <v>2030</v>
      </c>
      <c r="P7" s="52" t="s">
        <v>101</v>
      </c>
      <c r="Q7" s="52"/>
    </row>
    <row r="8" spans="3:30" x14ac:dyDescent="0.35">
      <c r="C8" s="47">
        <v>2021</v>
      </c>
      <c r="D8" s="51">
        <f>E4</f>
        <v>30000</v>
      </c>
      <c r="E8" s="53">
        <v>0</v>
      </c>
      <c r="F8" s="53">
        <f>+E8</f>
        <v>0</v>
      </c>
      <c r="G8" s="53">
        <f>+F8</f>
        <v>0</v>
      </c>
      <c r="H8" s="53"/>
      <c r="I8" s="53"/>
      <c r="J8" s="53"/>
      <c r="K8" s="53"/>
      <c r="L8" s="53"/>
      <c r="M8" s="53"/>
      <c r="N8" s="53"/>
      <c r="P8" s="52" t="s">
        <v>102</v>
      </c>
      <c r="Q8" s="52" t="s">
        <v>103</v>
      </c>
      <c r="R8" s="52" t="s">
        <v>104</v>
      </c>
      <c r="S8" s="52" t="s">
        <v>105</v>
      </c>
      <c r="T8" s="52" t="s">
        <v>106</v>
      </c>
      <c r="U8" s="54"/>
      <c r="V8" s="54"/>
      <c r="W8" s="54"/>
    </row>
    <row r="9" spans="3:30" x14ac:dyDescent="0.35">
      <c r="C9" s="47">
        <v>2022</v>
      </c>
      <c r="D9" s="51">
        <f>+F4</f>
        <v>260000</v>
      </c>
      <c r="E9" s="53"/>
      <c r="F9" s="53">
        <v>-42000</v>
      </c>
      <c r="G9" s="53">
        <f>+F9</f>
        <v>-42000</v>
      </c>
      <c r="H9" s="53">
        <f>+G9</f>
        <v>-42000</v>
      </c>
      <c r="I9" s="53">
        <f>+H9</f>
        <v>-42000</v>
      </c>
      <c r="J9" s="53">
        <f>+I9</f>
        <v>-42000</v>
      </c>
      <c r="K9" s="53">
        <f>+J9</f>
        <v>-42000</v>
      </c>
      <c r="L9" s="53">
        <f>-D9-SUM(F9:K9)</f>
        <v>-8000</v>
      </c>
      <c r="M9" s="53"/>
      <c r="N9" s="53"/>
      <c r="P9" s="55">
        <v>0.66666666666666663</v>
      </c>
      <c r="Q9" s="55">
        <v>0.75</v>
      </c>
      <c r="R9" s="55">
        <v>0.8</v>
      </c>
      <c r="S9" s="55">
        <v>0.83333333333333337</v>
      </c>
      <c r="T9" s="55">
        <v>0.8571428571428571</v>
      </c>
      <c r="U9" s="56"/>
      <c r="V9" s="56"/>
      <c r="W9" s="56"/>
      <c r="X9" s="57"/>
      <c r="Y9" s="57"/>
      <c r="Z9" s="57"/>
      <c r="AA9" s="57"/>
      <c r="AB9" s="57"/>
      <c r="AC9" s="57"/>
      <c r="AD9" s="57"/>
    </row>
    <row r="10" spans="3:30" x14ac:dyDescent="0.35">
      <c r="C10" s="47">
        <v>2023</v>
      </c>
      <c r="D10" s="51">
        <f>+G4</f>
        <v>260000</v>
      </c>
      <c r="E10" s="53"/>
      <c r="F10" s="53"/>
      <c r="G10" s="53">
        <v>-45000</v>
      </c>
      <c r="H10" s="53">
        <f>+G10</f>
        <v>-45000</v>
      </c>
      <c r="I10" s="53">
        <f>+H10</f>
        <v>-45000</v>
      </c>
      <c r="J10" s="53">
        <f>+I10</f>
        <v>-45000</v>
      </c>
      <c r="K10" s="53">
        <f>+J10</f>
        <v>-45000</v>
      </c>
      <c r="L10" s="53">
        <f>-D10-SUM(G10:K10)</f>
        <v>-35000</v>
      </c>
      <c r="M10" s="53"/>
      <c r="N10" s="53"/>
    </row>
    <row r="11" spans="3:30" x14ac:dyDescent="0.35">
      <c r="C11" s="47">
        <f>+C10+1</f>
        <v>2024</v>
      </c>
      <c r="D11" s="51">
        <f>+H4</f>
        <v>459900</v>
      </c>
      <c r="E11" s="53"/>
      <c r="F11" s="53"/>
      <c r="G11" s="53"/>
      <c r="H11" s="53">
        <f>+-'Assumptions (Samba)'!I19*'Intangibles and Deprec. (Samba)'!H4</f>
        <v>-76803.3</v>
      </c>
      <c r="I11" s="53">
        <f>_xlfn.IFS(-H11=$D11,0,-H11&lt;$D11/2,H11,-H11=$D11/2,H11,-H11&gt;$D11/2,-$D11-H11)</f>
        <v>-76803.3</v>
      </c>
      <c r="J11" s="53">
        <f>_xlfn.IFS(-SUM($H11:I11)=$D11,0,-SUM($H11:I11)&lt;$D11+SUM($H11:I11),I11,-SUM($H11:I11)&gt;$D11*$P$9,$D11+SUM($H11:I11),-SUM($H11:I11)&lt;=$P$9*$D11,I11)</f>
        <v>-76803.3</v>
      </c>
      <c r="K11" s="53">
        <f>_xlfn.IFS(-SUM($H11:J11)=$D11,0,-SUM($H11:J11)&lt;$D11+SUM($H11:J11),J11,-SUM($H11:J11)&gt;$D11*$Q$9,$D11+SUM($H11:J11),-SUM($H11:J11)&lt;=$Q$9*$D11,J11)</f>
        <v>-76803.3</v>
      </c>
      <c r="L11" s="53">
        <f>_xlfn.IFS(-SUM($H11:K11)=$D11,0,-SUM($H11:K11)&lt;$D11+SUM($H11:K11),K11,-SUM($H11:K11)&gt;$D11*$R$9,$D11+SUM($H11:K11),-SUM($H11:K11)&lt;=$R$9*$D11,K11)</f>
        <v>-76803.3</v>
      </c>
      <c r="M11" s="53">
        <f>_xlfn.IFS(-SUM($H11:L11)=$D11,0,-SUM($H11:L11)&lt;$D11+SUM($H11:L11),L11,-SUM($H11:L11)&gt;$D11*$S$9,-$D11-SUM($H11:L11),-SUM($H11:L11)&lt;=$S$9*$D11,L11)</f>
        <v>-75883.5</v>
      </c>
      <c r="N11" s="53">
        <f>_xlfn.IFS(-SUM($H11:M11)=$D11,0,-SUM($H11:M11)&lt;$D11+SUM($H11:M11),M11,-SUM($H11:M11)&gt;$D11*$T$9,$D11+SUM($H11:M11),-SUM($H11:M11)&lt;=$T$9*$D11,M11)</f>
        <v>0</v>
      </c>
    </row>
    <row r="12" spans="3:30" x14ac:dyDescent="0.35">
      <c r="C12" s="47">
        <f t="shared" ref="C12:C17" si="2">+C11+1</f>
        <v>2025</v>
      </c>
      <c r="D12" s="51">
        <f>+I4</f>
        <v>643860</v>
      </c>
      <c r="E12" s="53"/>
      <c r="F12" s="53"/>
      <c r="G12" s="53"/>
      <c r="H12" s="53"/>
      <c r="I12" s="53">
        <f>-$D12*'Assumptions (Samba)'!J19</f>
        <v>-107524.62000000001</v>
      </c>
      <c r="J12" s="53">
        <f>_xlfn.IFS(-I12=$D12,0,-I12&lt;$D12/2,I12,-I12=$D12/2,I12,-I12&gt;$D12/2,-$D12-I12)</f>
        <v>-107524.62000000001</v>
      </c>
      <c r="K12" s="53">
        <f>_xlfn.IFS(-SUM($H12:J12)=$D12,0,-SUM($H12:J12)&lt;$D12+SUM($H12:J12),J12,-SUM($H12:J12)&gt;$D12*$P$9,$D12+SUM($H12:J12),-SUM($H12:J12)&lt;=$P$9*$D12,J12)</f>
        <v>-107524.62000000001</v>
      </c>
      <c r="L12" s="53">
        <f>_xlfn.IFS(-SUM($H12:K12)=$D12,0,-SUM($H12:K12)&lt;$D12+SUM($H12:K12),K12,-SUM($H12:K12)&gt;$D12*$Q$9,$D12+SUM($H12:K12),-SUM($H12:K12)&lt;=$Q$9*$D12,K12)</f>
        <v>-107524.62000000001</v>
      </c>
      <c r="M12" s="53">
        <f>_xlfn.IFS(-SUM($H12:L12)=$D12,0,-SUM($H12:L12)&lt;$D12+SUM($H12:L12),L12,-SUM($H12:L12)&gt;$D12*$R$9,$D12+SUM($H12:L12),-SUM($H12:L12)&lt;=$R$9*$D12,L12)</f>
        <v>-107524.62000000001</v>
      </c>
      <c r="N12" s="53">
        <f>_xlfn.IFS(-SUM($H12:M12)=$D12,0,-SUM($H12:M12)&lt;$D12+SUM($H12:M12),M12,-SUM($H12:M12)&gt;$D12*$S$9,-$D12-SUM($H12:M12),-SUM($H12:M12)&lt;=$S$9*$D12,M12)</f>
        <v>-106236.89999999991</v>
      </c>
    </row>
    <row r="13" spans="3:30" x14ac:dyDescent="0.35">
      <c r="C13" s="47">
        <f t="shared" si="2"/>
        <v>2026</v>
      </c>
      <c r="D13" s="51">
        <f>+J4</f>
        <v>869211</v>
      </c>
      <c r="E13" s="53"/>
      <c r="F13" s="53"/>
      <c r="G13" s="53"/>
      <c r="H13" s="53"/>
      <c r="I13" s="53"/>
      <c r="J13" s="53">
        <f>-$D13*'Assumptions (Samba)'!K19</f>
        <v>-145158.23700000002</v>
      </c>
      <c r="K13" s="53">
        <f>_xlfn.IFS(-J13=$D13,0,-J13&lt;$D13/2,J13,-J13=$D13/2,J13,-J13&gt;$D13/2,-$D13-J13)</f>
        <v>-145158.23700000002</v>
      </c>
      <c r="L13" s="53">
        <f>_xlfn.IFS(-SUM($H13:K13)=$D13,0,-SUM($H13:K13)&lt;$D13+SUM($H13:K13),K13,-SUM($H13:K13)&gt;$D13*$P$9,$D13+SUM($H13:K13),-SUM($H13:K13)&lt;=$P$9*$D13,K13)</f>
        <v>-145158.23700000002</v>
      </c>
      <c r="M13" s="53">
        <f>_xlfn.IFS(-SUM($H13:L13)=$D13,0,-SUM($H13:L13)&lt;$D13+SUM($H13:L13),L13,-SUM($H13:L13)&gt;$D13*$Q$9,$D13+SUM($H13:L13),-SUM($H13:L13)&lt;=$Q$9*$D13,L13)</f>
        <v>-145158.23700000002</v>
      </c>
      <c r="N13" s="53">
        <f>_xlfn.IFS(-SUM($H13:M13)=$D13,0,-SUM($H13:M13)&lt;$D13+SUM($H13:M13),M13,-SUM($H13:M13)&gt;$D13*$R$9,$D13+SUM($H13:M13),-SUM($H13:M13)&lt;=$R$9*$D13,M13)</f>
        <v>-145158.23700000002</v>
      </c>
    </row>
    <row r="14" spans="3:30" x14ac:dyDescent="0.35">
      <c r="C14" s="47">
        <f t="shared" si="2"/>
        <v>2027</v>
      </c>
      <c r="D14" s="51">
        <f>+K4</f>
        <v>1129974.3</v>
      </c>
      <c r="E14" s="53"/>
      <c r="F14" s="53"/>
      <c r="G14" s="53"/>
      <c r="H14" s="53"/>
      <c r="I14" s="53"/>
      <c r="J14" s="53"/>
      <c r="K14" s="53">
        <f>-$D14*'Assumptions (Samba)'!L19</f>
        <v>-188705.70810000002</v>
      </c>
      <c r="L14" s="53">
        <f>_xlfn.IFS(-K14=$D14,0,-K14&lt;$D14/2,K14,-K14=$D14/2,K14,-K14&gt;$D14/2,-$D14-K14)</f>
        <v>-188705.70810000002</v>
      </c>
      <c r="M14" s="53">
        <f>_xlfn.IFS(-SUM($H14:L14)=$D14,0,-SUM($H14:L14)&lt;$D14+SUM($H14:L14),L14,-SUM($H14:L14)&gt;$D14*$P$9,$D14+SUM($H14:L14),-SUM($H14:L14)&lt;=$P$9*$D14,L14)</f>
        <v>-188705.70810000002</v>
      </c>
      <c r="N14" s="53">
        <f>_xlfn.IFS(-SUM($H14:M14)=$D14,0,-SUM($H14:M14)&lt;$D14+SUM($H14:M14),M14,-SUM($H14:M14)&gt;$D14*$Q$9,$D14+SUM($H14:M14),-SUM($H14:M14)&lt;=$Q$9*$D14,M14)</f>
        <v>-188705.70810000002</v>
      </c>
      <c r="O14" s="58"/>
      <c r="P14" s="58"/>
      <c r="Q14" s="58"/>
      <c r="R14" s="58"/>
    </row>
    <row r="15" spans="3:30" x14ac:dyDescent="0.35">
      <c r="C15" s="47">
        <f t="shared" si="2"/>
        <v>2028</v>
      </c>
      <c r="D15" s="51">
        <f>+L4</f>
        <v>1412467.875</v>
      </c>
      <c r="E15" s="53"/>
      <c r="F15" s="53"/>
      <c r="G15" s="53"/>
      <c r="H15" s="53"/>
      <c r="I15" s="53"/>
      <c r="J15" s="53"/>
      <c r="K15" s="53"/>
      <c r="L15" s="53">
        <f>-$D15*'Assumptions (Samba)'!M19</f>
        <v>-235458.39476249999</v>
      </c>
      <c r="M15" s="53">
        <f>_xlfn.IFS(-L15=$D15,0,-L15&lt;$D15/2,L15,-L15=$D15/2,L15,-L15&gt;$D15/2,-$D15-L15)</f>
        <v>-235458.39476249999</v>
      </c>
      <c r="N15" s="53">
        <f>_xlfn.IFS(-SUM($H15:M15)=$D15,0,-SUM($H15:M15)&lt;$D15+SUM($H15:M15),M15,-SUM($H15:M15)&gt;$D15*$P$9,$D15+SUM($H15:M15),-SUM($H15:M15)&lt;=$P$9*$D15,M15)</f>
        <v>-235458.39476249999</v>
      </c>
    </row>
    <row r="16" spans="3:30" x14ac:dyDescent="0.35">
      <c r="C16" s="47">
        <f t="shared" si="2"/>
        <v>2029</v>
      </c>
      <c r="D16" s="51">
        <f>+M4</f>
        <v>1694961.4500000002</v>
      </c>
      <c r="E16" s="53"/>
      <c r="F16" s="53"/>
      <c r="G16" s="53"/>
      <c r="H16" s="53"/>
      <c r="I16" s="53"/>
      <c r="J16" s="53"/>
      <c r="K16" s="53"/>
      <c r="L16" s="53"/>
      <c r="M16" s="53">
        <f>-$D16*'Assumptions (Samba)'!N19</f>
        <v>-282550.07371500001</v>
      </c>
      <c r="N16" s="53">
        <f>_xlfn.IFS(-M16=$D16,0,-M16&lt;$D16/2,M16,-M16=$D16/2,M16,-M16&gt;$D16/2,-$D16-M16)</f>
        <v>-282550.07371500001</v>
      </c>
    </row>
    <row r="17" spans="3:15" x14ac:dyDescent="0.35">
      <c r="C17" s="47">
        <f t="shared" si="2"/>
        <v>2030</v>
      </c>
      <c r="D17" s="51">
        <f>+N4</f>
        <v>1949205.6674999997</v>
      </c>
      <c r="E17" s="53"/>
      <c r="F17" s="53"/>
      <c r="G17" s="53"/>
      <c r="H17" s="53"/>
      <c r="I17" s="53"/>
      <c r="J17" s="53"/>
      <c r="K17" s="53"/>
      <c r="L17" s="53"/>
      <c r="M17" s="53"/>
      <c r="N17" s="53">
        <f>-$D17*'Assumptions (Samba)'!O19</f>
        <v>-324932.58477224992</v>
      </c>
    </row>
    <row r="18" spans="3:15" x14ac:dyDescent="0.35">
      <c r="C18" s="47"/>
      <c r="D18" s="47" t="s">
        <v>107</v>
      </c>
      <c r="E18" s="53">
        <f>SUM(E8:E17)</f>
        <v>0</v>
      </c>
      <c r="F18" s="53">
        <f t="shared" ref="F18:N18" si="3">SUM(F8:F17)</f>
        <v>-42000</v>
      </c>
      <c r="G18" s="53">
        <f t="shared" si="3"/>
        <v>-87000</v>
      </c>
      <c r="H18" s="53">
        <f t="shared" si="3"/>
        <v>-163803.29999999999</v>
      </c>
      <c r="I18" s="53">
        <f t="shared" si="3"/>
        <v>-271327.92</v>
      </c>
      <c r="J18" s="53">
        <f t="shared" si="3"/>
        <v>-416486.15700000001</v>
      </c>
      <c r="K18" s="53">
        <f t="shared" si="3"/>
        <v>-605191.86510000005</v>
      </c>
      <c r="L18" s="53">
        <f t="shared" si="3"/>
        <v>-796650.25986250001</v>
      </c>
      <c r="M18" s="53">
        <f t="shared" si="3"/>
        <v>-1035280.5335774999</v>
      </c>
      <c r="N18" s="53">
        <f t="shared" si="3"/>
        <v>-1283041.8983497499</v>
      </c>
      <c r="O18" s="59"/>
    </row>
    <row r="19" spans="3:15" x14ac:dyDescent="0.35">
      <c r="C19" s="47"/>
      <c r="D19" s="47" t="s">
        <v>108</v>
      </c>
      <c r="E19" s="53">
        <f>+E18</f>
        <v>0</v>
      </c>
      <c r="F19" s="53">
        <f>+F18+E19</f>
        <v>-42000</v>
      </c>
      <c r="G19" s="53">
        <f t="shared" ref="G19:N19" si="4">+G18+F19</f>
        <v>-129000</v>
      </c>
      <c r="H19" s="53">
        <f t="shared" si="4"/>
        <v>-292803.3</v>
      </c>
      <c r="I19" s="53">
        <f t="shared" si="4"/>
        <v>-564131.22</v>
      </c>
      <c r="J19" s="53">
        <f t="shared" si="4"/>
        <v>-980617.37699999998</v>
      </c>
      <c r="K19" s="53">
        <f t="shared" si="4"/>
        <v>-1585809.2420999999</v>
      </c>
      <c r="L19" s="53">
        <f t="shared" si="4"/>
        <v>-2382459.5019624997</v>
      </c>
      <c r="M19" s="53">
        <f t="shared" si="4"/>
        <v>-3417740.0355399996</v>
      </c>
      <c r="N19" s="53">
        <f t="shared" si="4"/>
        <v>-4700781.9338897495</v>
      </c>
    </row>
    <row r="20" spans="3:15" x14ac:dyDescent="0.35">
      <c r="C20" s="47"/>
      <c r="D20" s="47" t="s">
        <v>109</v>
      </c>
      <c r="E20" s="53">
        <f>+E5+E19</f>
        <v>159678</v>
      </c>
      <c r="F20" s="53">
        <f t="shared" ref="F20:N20" si="5">+F5+F19</f>
        <v>377678</v>
      </c>
      <c r="G20" s="53">
        <f t="shared" si="5"/>
        <v>550678</v>
      </c>
      <c r="H20" s="53">
        <f t="shared" si="5"/>
        <v>846774.7</v>
      </c>
      <c r="I20" s="53">
        <f t="shared" si="5"/>
        <v>1219306.78</v>
      </c>
      <c r="J20" s="53">
        <f t="shared" si="5"/>
        <v>1672031.6230000001</v>
      </c>
      <c r="K20" s="53">
        <f t="shared" si="5"/>
        <v>2196814.0578999999</v>
      </c>
      <c r="L20" s="53">
        <f t="shared" si="5"/>
        <v>2812631.6730375001</v>
      </c>
      <c r="M20" s="53">
        <f t="shared" si="5"/>
        <v>3472312.5894600004</v>
      </c>
      <c r="N20" s="53">
        <f t="shared" si="5"/>
        <v>4138476.358610251</v>
      </c>
    </row>
    <row r="21" spans="3:15" x14ac:dyDescent="0.35">
      <c r="F21" s="60"/>
      <c r="G21" s="60"/>
      <c r="H21" s="60"/>
      <c r="I21" s="60"/>
      <c r="J21" s="60"/>
      <c r="K21" s="60"/>
      <c r="L21" s="60"/>
      <c r="M21" s="60"/>
    </row>
    <row r="22" spans="3:15" x14ac:dyDescent="0.35">
      <c r="H22" s="60"/>
      <c r="K22" s="6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Balance (C&amp;C)</vt:lpstr>
      <vt:lpstr>Income Statement (C&amp;C)</vt:lpstr>
      <vt:lpstr>Cash-Flow (C&amp;C)</vt:lpstr>
      <vt:lpstr>Intangibles and Deprec. (C&amp;C)</vt:lpstr>
      <vt:lpstr>Assumptions (C&amp;C)</vt:lpstr>
      <vt:lpstr>Balance (Samba)</vt:lpstr>
      <vt:lpstr>Income Statement (Samba)</vt:lpstr>
      <vt:lpstr>Cash-Flow (Samba)</vt:lpstr>
      <vt:lpstr>Intangibles and Deprec. (Samba)</vt:lpstr>
      <vt:lpstr>Assumptions (Samba)</vt:lpstr>
      <vt:lpstr>Exchange rate 31.05.2022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Joao Fernandes</dc:creator>
  <cp:lastModifiedBy>Bernard</cp:lastModifiedBy>
  <dcterms:created xsi:type="dcterms:W3CDTF">2022-05-30T08:47:42Z</dcterms:created>
  <dcterms:modified xsi:type="dcterms:W3CDTF">2024-05-25T05:23:17Z</dcterms:modified>
</cp:coreProperties>
</file>